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8" windowWidth="15192" windowHeight="8448" tabRatio="898" activeTab="5"/>
  </bookViews>
  <sheets>
    <sheet name="งบทดลองก่อน" sheetId="1" r:id="rId1"/>
    <sheet name="งบทดลองหลัง" sheetId="2" r:id="rId2"/>
    <sheet name="หมาย1" sheetId="3" r:id="rId3"/>
    <sheet name="หมาย2" sheetId="4" r:id="rId4"/>
    <sheet name="หมาย3" sheetId="5" r:id="rId5"/>
    <sheet name="งบรับ-จ่าย" sheetId="6" r:id="rId6"/>
    <sheet name="งบฐานะ" sheetId="7" r:id="rId7"/>
    <sheet name="บัญชี" sheetId="8" r:id="rId8"/>
    <sheet name="งบแสดงฐานะ1" sheetId="9" r:id="rId9"/>
    <sheet name="หมายเหตุ 1" sheetId="10" r:id="rId10"/>
    <sheet name="หมายเหตุ 2" sheetId="11" r:id="rId11"/>
    <sheet name="หมายเหตุ 3-5" sheetId="12" r:id="rId12"/>
    <sheet name="หมายเหตุ 6" sheetId="13" r:id="rId13"/>
    <sheet name="หมายเหตุ 7" sheetId="14" r:id="rId14"/>
    <sheet name="หมายเหตุ 8 เงินสะสม" sheetId="15" r:id="rId15"/>
    <sheet name="แนบท้าย 8" sheetId="16" r:id="rId16"/>
    <sheet name="งบกระแสเงินสด" sheetId="17" r:id="rId17"/>
    <sheet name="รายงานรายจ่าย" sheetId="18" r:id="rId18"/>
    <sheet name="แผนงานรวม" sheetId="19" r:id="rId19"/>
    <sheet name="งบแสดงผล" sheetId="20" r:id="rId20"/>
    <sheet name="กระดาษทำการ" sheetId="21" r:id="rId21"/>
  </sheets>
  <externalReferences>
    <externalReference r:id="rId24"/>
  </externalReferences>
  <definedNames/>
  <calcPr fullCalcOnLoad="1"/>
</workbook>
</file>

<file path=xl/comments1.xml><?xml version="1.0" encoding="utf-8"?>
<comments xmlns="http://schemas.openxmlformats.org/spreadsheetml/2006/main">
  <authors>
    <author>TATTOO</author>
  </authors>
  <commentList>
    <comment ref="D25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8"/>
            <rFont val="Tahoma"/>
            <family val="2"/>
          </rPr>
          <t>หน้า 33</t>
        </r>
      </text>
    </comment>
    <comment ref="D26" authorId="0">
      <text>
        <r>
          <rPr>
            <b/>
            <sz val="9"/>
            <rFont val="Tahoma"/>
            <family val="2"/>
          </rPr>
          <t>TATTOO:</t>
        </r>
        <r>
          <rPr>
            <sz val="9"/>
            <rFont val="Tahoma"/>
            <family val="2"/>
          </rPr>
          <t xml:space="preserve">
</t>
        </r>
        <r>
          <rPr>
            <sz val="14"/>
            <color indexed="33"/>
            <rFont val="Tahoma"/>
            <family val="2"/>
          </rPr>
          <t>หน้า 44</t>
        </r>
      </text>
    </comment>
    <comment ref="E37" authorId="0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หน้า 45</t>
        </r>
      </text>
    </comment>
  </commentList>
</comments>
</file>

<file path=xl/sharedStrings.xml><?xml version="1.0" encoding="utf-8"?>
<sst xmlns="http://schemas.openxmlformats.org/spreadsheetml/2006/main" count="1804" uniqueCount="688">
  <si>
    <t>งบทดลอง (ก่อนปิดบัญชี)</t>
  </si>
  <si>
    <t>หมวด</t>
  </si>
  <si>
    <t>531000</t>
  </si>
  <si>
    <t>532000</t>
  </si>
  <si>
    <t>533000</t>
  </si>
  <si>
    <t>534000</t>
  </si>
  <si>
    <t>561000</t>
  </si>
  <si>
    <t>541000</t>
  </si>
  <si>
    <t>542000</t>
  </si>
  <si>
    <t>320000</t>
  </si>
  <si>
    <t>ค่าก่อสร้างสิ่งสาธารณูปโภค</t>
  </si>
  <si>
    <t>รายจ่ายผัดส่งใบสำคัญ</t>
  </si>
  <si>
    <t>441000</t>
  </si>
  <si>
    <t>รายการ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</si>
  <si>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</si>
  <si>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</si>
  <si>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</si>
  <si>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</si>
  <si>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</si>
  <si>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</si>
  <si>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</si>
  <si>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</si>
  <si>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</si>
  <si>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</si>
  <si>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</si>
  <si>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ลูกหนี้เงินสะสม</t>
  </si>
  <si>
    <t>ทรัพย์สินตามงบทรัพย์สิน</t>
  </si>
  <si>
    <t>สินทรัพย์</t>
  </si>
  <si>
    <t>สินทรัพย์หมุนเวียน</t>
  </si>
  <si>
    <t xml:space="preserve">เงินสด เงินฝากธนาคาร </t>
  </si>
  <si>
    <t>เงินฝาก ก.ส.อ.</t>
  </si>
  <si>
    <t>เงินฝาก ก.ส.ท.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</si>
  <si>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</si>
  <si>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</si>
  <si>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</si>
  <si>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</si>
  <si>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ลูกหนี้เงินทุนโครงการเศรษฐกิจชุมชน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</si>
  <si>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</si>
  <si>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</si>
  <si>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</si>
  <si>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หุ้นในโรงพิมพ์อาษารักษาดินแดน</t>
  </si>
  <si>
    <t>รวมสินทรัพย์ไม่หมุนเวียน</t>
  </si>
  <si>
    <t>สินทรัพย์เกิดจากเงินกู้</t>
  </si>
  <si>
    <t>สินทรัพย์ไม่หมุนเวียนอื่น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</si>
  <si>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</si>
  <si>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</si>
  <si>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หนี้สินหมุนเวียน</t>
  </si>
  <si>
    <t>ฎีกาค้างจ่าย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</si>
  <si>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</si>
  <si>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</si>
  <si>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</si>
  <si>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</si>
  <si>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</si>
  <si>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</si>
  <si>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</si>
  <si>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</si>
  <si>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</si>
  <si>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</si>
  <si>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</si>
  <si>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ข้อมูลทั่วไป</t>
  </si>
  <si>
    <t xml:space="preserve"> -ข้อมูลทั่วไปขององค์กรปกครองส่วนท้องถิ่น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</si>
  <si>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</si>
  <si>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</si>
  <si>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</t>
  </si>
  <si>
    <t>มหาดไทยเรื่อง หลักเกณฑ์และวิธีปฏิบัติการบันทึกบัญชี การจัดทำทะเบียน และรายงานการเงินขององค์กรปกครองส่วนท้อง</t>
  </si>
  <si>
    <t>1.2 รายการเปิดเผยอื่นใด (ถ้ามี)</t>
  </si>
  <si>
    <t>ราคาทรัพย์สิน</t>
  </si>
  <si>
    <t>แหล่งที่มาของทรัพย์สินทั้งหมด</t>
  </si>
  <si>
    <t>ชื่อ</t>
  </si>
  <si>
    <t xml:space="preserve">  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</t>
  </si>
  <si>
    <t>ประโยชน์โดยตรง 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</t>
  </si>
  <si>
    <t>ลานกีฬา เป็นต้น</t>
  </si>
  <si>
    <t>หมายเหตุ  3 เงินสดและเงินฝากธนาคาร</t>
  </si>
  <si>
    <t>หมายเหตุ 4 รายได้จากรัฐบาลค้างรับ</t>
  </si>
  <si>
    <t>หมายเหตุ 6 ลูกหนี้รายได้อื่นๆ</t>
  </si>
  <si>
    <t>หมายเหตุ 8 สินทรัพย์หมุนเวียนอื่น</t>
  </si>
  <si>
    <t>หมายเหตุ 9 สินทรัพย์ไม่หมุนเวียนอื่น</t>
  </si>
  <si>
    <t>แหล่งเงิน</t>
  </si>
  <si>
    <t>แผนงาน</t>
  </si>
  <si>
    <t>งาน</t>
  </si>
  <si>
    <t>โครงการ</t>
  </si>
  <si>
    <t>เงินงบประมาณ</t>
  </si>
  <si>
    <t>เคหะและชุมชน</t>
  </si>
  <si>
    <t>บริหารงานทั่วไป</t>
  </si>
  <si>
    <t>การศึกษา</t>
  </si>
  <si>
    <t>หมายเหตุ 11 ฎีกาค้างจ่าย</t>
  </si>
  <si>
    <t>หมายเหตุ 13 หนี้สินหมุนเวียนอื่น</t>
  </si>
  <si>
    <t>หมายเหตุ 14 เจ้าหนี้เงินกู้</t>
  </si>
  <si>
    <t>หมายเหตุ 15 หนี้สินไม่หมุนเวียนอื่น</t>
  </si>
  <si>
    <t xml:space="preserve">      รายรับจริงสูงกว่ารายจ่ายจริง</t>
  </si>
  <si>
    <t xml:space="preserve">           (เงินทุนสำรองเงินสะสม)</t>
  </si>
  <si>
    <r>
      <t xml:space="preserve">      </t>
    </r>
    <r>
      <rPr>
        <u val="single"/>
        <sz val="16"/>
        <rFont val="TH SarabunPSK"/>
        <family val="2"/>
      </rPr>
      <t xml:space="preserve">หัก </t>
    </r>
    <r>
      <rPr>
        <sz val="16"/>
        <rFont val="TH SarabunPSK"/>
        <family val="2"/>
      </rPr>
      <t>25% ของรายรับจริงสูงกว่ารายจ่ายจริง</t>
    </r>
  </si>
  <si>
    <r>
      <t>บวก</t>
    </r>
    <r>
      <rPr>
        <sz val="16"/>
        <rFont val="TH SarabunPSK"/>
        <family val="2"/>
      </rPr>
      <t xml:space="preserve">  รับจริงสูงกว่ารายจ่ายจริงหลังหักทุนสำรองเงินสะสม</t>
    </r>
  </si>
  <si>
    <t>+</t>
  </si>
  <si>
    <t>-</t>
  </si>
  <si>
    <t>รายจ่ายตามงบประมาณรายจ่าย</t>
  </si>
  <si>
    <t>ประเภททรัพย์สิน</t>
  </si>
  <si>
    <t>ก.อสังหาริมทรัพย์</t>
  </si>
  <si>
    <t>ที่ดิน</t>
  </si>
  <si>
    <t>อาคาร</t>
  </si>
  <si>
    <t>ข.สังหาริมทรัพย์</t>
  </si>
  <si>
    <t>ครุภัณฑ์ยานพาหนะและขนส่ง</t>
  </si>
  <si>
    <t>ครุภัณฑ์โฆษณาและเผยแพร่</t>
  </si>
  <si>
    <t>ครุภัณฑ์ก่อสร้าง</t>
  </si>
  <si>
    <t>ครุภัณฑ์อื่น</t>
  </si>
  <si>
    <t>เครื่องใช้สำนักงาน</t>
  </si>
  <si>
    <t>ครุภัณฑ์งานบ้านงานครัว</t>
  </si>
  <si>
    <t>ครุภัณฑ์โยธา</t>
  </si>
  <si>
    <t>ครุภัณฑ์วิทยาศาสตร์</t>
  </si>
  <si>
    <t>ครุภัณฑ์สำรวจ</t>
  </si>
  <si>
    <t>ครุภัณฑ์สำนักงาน</t>
  </si>
  <si>
    <t>ครุภัณฑ์ไฟฟ้าและวิทยุ</t>
  </si>
  <si>
    <t>ครุภัณฑ์คอมพิวเตอร์</t>
  </si>
  <si>
    <t>จำนวนเงิน</t>
  </si>
  <si>
    <t>ก่อหนี้ผูกพัน</t>
  </si>
  <si>
    <t>เบิกจ่ายแล้ว</t>
  </si>
  <si>
    <t>คงเหลือ</t>
  </si>
  <si>
    <t>รวม</t>
  </si>
  <si>
    <t>เงินสะสม</t>
  </si>
  <si>
    <t>จำนวนเงินที่ได้รับอนุมัติ</t>
  </si>
  <si>
    <t>ยังไม่ได้ก่อหนี้</t>
  </si>
  <si>
    <t>หมายเหตุ</t>
  </si>
  <si>
    <t>รหัสบัญชี</t>
  </si>
  <si>
    <t>ประมาณการ</t>
  </si>
  <si>
    <t>รายได้จากทรัพย์สิน</t>
  </si>
  <si>
    <t>รายได้เบ็ดเตล็ด</t>
  </si>
  <si>
    <t>รายได้จากทุน</t>
  </si>
  <si>
    <t>เงินอุดหนุน</t>
  </si>
  <si>
    <t>รวมรายรับ</t>
  </si>
  <si>
    <t>รายจ่าย</t>
  </si>
  <si>
    <t>รายรับ</t>
  </si>
  <si>
    <t>รายได้</t>
  </si>
  <si>
    <t>511000</t>
  </si>
  <si>
    <t>551000</t>
  </si>
  <si>
    <t>รวมเงินตามประมาณการรายรับทั้งสิ้น</t>
  </si>
  <si>
    <t>รวมรายรับทั้งสิ้น</t>
  </si>
  <si>
    <t>งบแสดงฐานะการเงิน</t>
  </si>
  <si>
    <t>ทุนทรัพย์สิน</t>
  </si>
  <si>
    <t>หนี้สิน</t>
  </si>
  <si>
    <t>เงินทุนสำรองเงินสะสม</t>
  </si>
  <si>
    <t>รวมทั้งสิ้น</t>
  </si>
  <si>
    <t>ครุภัณฑ์การเกษตร</t>
  </si>
  <si>
    <t>ครุภัณฑ์สนาม</t>
  </si>
  <si>
    <t>เงินฝากธนาคาร</t>
  </si>
  <si>
    <t>กรุงไทย</t>
  </si>
  <si>
    <t xml:space="preserve"> </t>
  </si>
  <si>
    <t>เงินเดือน (ฝ่ายการเมือง)</t>
  </si>
  <si>
    <t>521000</t>
  </si>
  <si>
    <t>เงินเดือน (ฝ่ายประจำ)</t>
  </si>
  <si>
    <t>522000</t>
  </si>
  <si>
    <t>310000</t>
  </si>
  <si>
    <t>รายจ่ายค้างจ่าย</t>
  </si>
  <si>
    <r>
      <t>หัก</t>
    </r>
    <r>
      <rPr>
        <sz val="16"/>
        <rFont val="TH SarabunPSK"/>
        <family val="2"/>
      </rPr>
      <t xml:space="preserve">  จ่ายขาดเงินสะสม</t>
    </r>
  </si>
  <si>
    <t>กระดาษทำการ</t>
  </si>
  <si>
    <t>งบทดลอง</t>
  </si>
  <si>
    <t>ใบผ่านรายการบัญชีทั่วไป</t>
  </si>
  <si>
    <t>(ปรับปรุง)</t>
  </si>
  <si>
    <t>(ปิดบัญชี)</t>
  </si>
  <si>
    <t xml:space="preserve">  </t>
  </si>
  <si>
    <t>ครุภัณฑ์การศึกษา</t>
  </si>
  <si>
    <t>รับ</t>
  </si>
  <si>
    <t>จ่าย</t>
  </si>
  <si>
    <t>ประเภท</t>
  </si>
  <si>
    <t>เงินอุดหนุนระบุวัตถุประสงค์</t>
  </si>
  <si>
    <t>องค์การบริหารส่วนตำบลศาลายา</t>
  </si>
  <si>
    <t>องค์การบริหารส่วนตำบลศาลายา  อำเภอพุทธมณฑล จังหวัดนครปฐม</t>
  </si>
  <si>
    <t>องค์การบริหารส่วนตำบลศาลายา  อำเภอพุทธมณฑล  จังหวัดนครปฐม</t>
  </si>
  <si>
    <t>องค์การบริหารส่วนตำบลศาลายา อำเภอพุทธมณฑล จังหวัดนครปฐม</t>
  </si>
  <si>
    <t>องค์การบริหารส่วนตำบลศาลายา อ.พุทธมณฑล จ.นครปฐม</t>
  </si>
  <si>
    <t xml:space="preserve"> ณ วันที่ 30 กันยายน 2559</t>
  </si>
  <si>
    <t>สำหรับปี สิ้นสุดวันที่ 30 กันยายน 2559</t>
  </si>
  <si>
    <t>เงินสะสม 30 กันยายน 2559</t>
  </si>
  <si>
    <t>ถิ่น ตามหนังสือกระทรวงมหาดไทย ที่ มท.0808.4/ว1723  ลงวันที่ 20 มีนาคม พ.ศ. 2558  และหนังสือสั่งการที่เกี่ยวข้อง</t>
  </si>
  <si>
    <t>เงินที่มีผู้อุทิศให้</t>
  </si>
  <si>
    <t>โครงการ............</t>
  </si>
  <si>
    <t>ฯลฯ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</si>
  <si>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</si>
  <si>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</si>
  <si>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</si>
  <si>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</si>
  <si>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</si>
  <si>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</si>
  <si>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 xml:space="preserve"> เป็นองค์การบริหารส่วนตำบลขนาดใหญ่  จัดตั้งขึ้นเมื่อวันที่  2  มีนาคม  พ.ศ. 2538 โดยประกาศกระทรวงมหาดไทย</t>
  </si>
  <si>
    <t xml:space="preserve">ตามพระราชบัญญัติสภาตำบลและองค์การบริหารส่วนตำบล พ.ศ. 2537  ตั้งอยู่เลขที่  85 หมู่ที่ 3  ตำบลศาลายา  </t>
  </si>
  <si>
    <t xml:space="preserve">อำเภอบางกรวย  และตำบลบ้านใหม่ อำเภอบางกรวย จังหวัดนนทบุรี ทิศใต้ติดเขตตำบลบางเตย  อำเภอสามพราน  </t>
  </si>
  <si>
    <t xml:space="preserve">จังหวัดนครปฐม ทิศตะวันตกติดเขตตำบลมหาสวัสดิ์  อำเภอพุทธมณฑล  จังหวัดนครปฐม  มีพื้นที่ทั้งหมด </t>
  </si>
  <si>
    <t xml:space="preserve"> 18.73  ตารางกิโลเมตร หรือประมาณ 11,393 ไร่ มีจำนวนหมู่บ้านในเขตพื้นที่รับผิดชอบทั้งหมด 5 หมู่บ้าน มีจำนวน</t>
  </si>
  <si>
    <t>อำเภอพุทธมณฑล  จังหวัดนครปฐม  73170  ระยะทางห่างจากที่ว่าอำเภอพุทธมณฑล  ประมาณ  3  กิโลเมตร และ</t>
  </si>
  <si>
    <t>มีอาณาเขตทิศเหนือติดเขตตำบลคลองโยง อำเภอพุทธมณฑล  จังหวัดนครปฐม ทิศตะวันออก ติดเขตตำบลศาลากลาง</t>
  </si>
  <si>
    <t xml:space="preserve">                องค์การบริหารส่วนตำบลศาลายาเป็นองค์กรปกครองส่วนท้องถิ่นรูปแบบหนึ่งของพื้นที่อำเภอพุทธมณฑล</t>
  </si>
  <si>
    <t>ผู้จัดทำ</t>
  </si>
  <si>
    <t>ตรวจสอบถูกต้อง</t>
  </si>
  <si>
    <t>(นางสาวณัฏฐวี  แซ่จิว)</t>
  </si>
  <si>
    <t>(นางสาวสงกรานต์  วัฒโน)</t>
  </si>
  <si>
    <t>(นางสาวอุไรวรรณ  พ้องเสียง)</t>
  </si>
  <si>
    <t>นักวิชาการเงินและบัญชี</t>
  </si>
  <si>
    <t>หัวหน้าฝ่ายการเงิน</t>
  </si>
  <si>
    <t>ผู้อำนวยการกองคลัง</t>
  </si>
  <si>
    <t>ทราบ</t>
  </si>
  <si>
    <t>(นายเอกชัย เอกสัมพันธ์ทิพย์)</t>
  </si>
  <si>
    <t>(นายอำนวย  เหมือนวงศ์ธรรม)</t>
  </si>
  <si>
    <t>ปลัดองค์การบริหารส่วนตำบลศาลายา</t>
  </si>
  <si>
    <t>นายกองค์การบริหารส่วนตำบลศาลายา</t>
  </si>
  <si>
    <t>(นางสาวสุภาวดี  พึ่งประชา)</t>
  </si>
  <si>
    <t>หัวหน้าฝ่ายทะเบียนทรัพย์สินและพัสดุ</t>
  </si>
  <si>
    <t>(นางสาวณัฐธิมา  ยิ้มถนอม)</t>
  </si>
  <si>
    <t>นักวิชาการพัสดุ</t>
  </si>
  <si>
    <t>หมายเหตุ 2   งบทรัพย์สิน</t>
  </si>
  <si>
    <t xml:space="preserve">เงินฝากธนาคาร  (ออมทรัพย์) 459-0-01073-9  </t>
  </si>
  <si>
    <t>ประเภทออมทรัพย์</t>
  </si>
  <si>
    <t xml:space="preserve">ประเภทออมทรัพย์ </t>
  </si>
  <si>
    <t xml:space="preserve">ประเภทประจำ    </t>
  </si>
  <si>
    <t>ประเภทกระแสรายวัน</t>
  </si>
  <si>
    <t xml:space="preserve">เลขที่ 459-0-01073-9  </t>
  </si>
  <si>
    <t>เลขที่ 459-2-01147-3</t>
  </si>
  <si>
    <t xml:space="preserve">เลขที่ 459-0-16097-8 </t>
  </si>
  <si>
    <t>เลขที่ 459-6-00041-7</t>
  </si>
  <si>
    <t>เงินจ่ายล่วงหน้า</t>
  </si>
  <si>
    <t>เงินขาดบัญชี</t>
  </si>
  <si>
    <t>เงินประกัน</t>
  </si>
  <si>
    <t>เลขที่ผู้เบิก</t>
  </si>
  <si>
    <t>............................................................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</si>
  <si>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</si>
  <si>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</si>
  <si>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</si>
  <si>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</si>
  <si>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</si>
  <si>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</si>
  <si>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</si>
  <si>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.....................................................</t>
  </si>
  <si>
    <t>หมายเหตุ 17   เงินทุนสำรองเงินสะสม</t>
  </si>
  <si>
    <t>ณ วันที่ 30 กันยายน 2558</t>
  </si>
  <si>
    <t>ทรัพยสิน</t>
  </si>
  <si>
    <t>หนี้สินและทุน</t>
  </si>
  <si>
    <t>เงินมัดจำในการจำหน่ายน้ำมันเชื้อเพลิง</t>
  </si>
  <si>
    <t xml:space="preserve">เงินฝากธนาคาร  (ออมทรัพย์) 459-0-16097-8 </t>
  </si>
  <si>
    <t>110201</t>
  </si>
  <si>
    <t>เงินฝากธนาคาร  (ประจำ) 459-2-01147-3</t>
  </si>
  <si>
    <t>110202</t>
  </si>
  <si>
    <t>รายได้ค้างรับ  ภาษีบำรุงท้องที่</t>
  </si>
  <si>
    <t>110300</t>
  </si>
  <si>
    <t>ลูกหนี้-เงินทุนโครงการเศรษฐกิจชุมชน</t>
  </si>
  <si>
    <t>ลูกหนี้-ภาษีโรงเรือนและที่ดิน</t>
  </si>
  <si>
    <t>110601</t>
  </si>
  <si>
    <t>ลูกหนี้-ภาษีบำรุงท้องที่</t>
  </si>
  <si>
    <t>110602</t>
  </si>
  <si>
    <t>งบกลาง - บำเหน็จบำนาญ</t>
  </si>
  <si>
    <t>120100</t>
  </si>
  <si>
    <t>เงินเดือน - ฝ่ายการเมือง</t>
  </si>
  <si>
    <t>เงินเดือน - ฝ่ายประจำ</t>
  </si>
  <si>
    <t xml:space="preserve">เงินอุดหนุน </t>
  </si>
  <si>
    <t>เงินอุดหนุนเฉพาะกิจ (เบี้ยยังชีพคนชรา)</t>
  </si>
  <si>
    <t>เงินอุดหนุนเฉพาะกิจ (เบี้ยยังชีพคนพิการ)</t>
  </si>
  <si>
    <t>เงินอุดหนุนเฉพาะกิจ (สนับสนุนศูนย์เด็กเล็ก)</t>
  </si>
  <si>
    <t>เงินอุดหนุนเฉพาะกิจ (เพื่อพัฒนาประเทศ)</t>
  </si>
  <si>
    <t>เงินอุดหนุนเฉพาะกิจ (ข้าราชการถ่ายโอนฯ)</t>
  </si>
  <si>
    <t>เงินอุดหนุนเฉพาะกิจ (แก้ปัญหายาเสพติด ฝึกอาชีพ)</t>
  </si>
  <si>
    <t>เงินอุดหนุนเฉพาะกิจ (แก้ปัญหายาเสพติด บำบัดฟื้นฟู)</t>
  </si>
  <si>
    <t>เงินอุดหนุนเฉพาะกิจ (โครงการติดตั้งกล้องวงจรปิด CCTV)</t>
  </si>
  <si>
    <t>เงินรายรับ</t>
  </si>
  <si>
    <t>เงินรับฝาก (หมายเหตุ 1)</t>
  </si>
  <si>
    <t xml:space="preserve">รายจ่ายรอจ่าย </t>
  </si>
  <si>
    <t>เงินอุดหนุนระบุวัตถุประสงค์ค้างจ่าย</t>
  </si>
  <si>
    <t>(นายเอกชัย  เอกสัมพันธ์ทิพย์)</t>
  </si>
  <si>
    <t>ปลัดองค์การบริหารส่วนตำบล</t>
  </si>
  <si>
    <t>นายกองค์การบริหารส่วนตำบล</t>
  </si>
  <si>
    <t>งบ</t>
  </si>
  <si>
    <t>หมายเหตุ : ระบุเงินงบประมาณหรือเงินอุดหนุนระบุวัตถุประสงค์/เฉพาะกิจ</t>
  </si>
  <si>
    <t>งบบุคคลากร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</si>
  <si>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</si>
  <si>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</si>
  <si>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</si>
  <si>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</si>
  <si>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r>
      <t xml:space="preserve">รายงานรายจ่ายในการดำเนินงานที่จ่ายจากเงินรายรับตามแผนงาน </t>
    </r>
    <r>
      <rPr>
        <b/>
        <u val="double"/>
        <sz val="16"/>
        <rFont val="TH SarabunPSK"/>
        <family val="2"/>
      </rPr>
      <t>งบกลาง</t>
    </r>
  </si>
  <si>
    <r>
      <t xml:space="preserve">รายงานรายจ่ายในการดำเนินงานที่จ่ายจากเงินรายรับตามแผนงาน   </t>
    </r>
    <r>
      <rPr>
        <b/>
        <u val="double"/>
        <sz val="16"/>
        <rFont val="TH SarabunPSK"/>
        <family val="2"/>
      </rPr>
      <t>บริหารงานทั่วไป</t>
    </r>
  </si>
  <si>
    <t>งานบริหารทั่วไป</t>
  </si>
  <si>
    <t>งานวางแผนสถิติและวิชาการ</t>
  </si>
  <si>
    <t>งานบริหารงานคลัง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</si>
  <si>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การรักษาความสงบภายใน</t>
    </r>
  </si>
  <si>
    <t>งานบริหารทั่วไปเกี่ยวกับการรักษาความสงบภายใน</t>
  </si>
  <si>
    <t>งานเทศกิจ</t>
  </si>
  <si>
    <t>งานป้องกันภัยฝ่ายพลเรือนและระงับอัคคีภัย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</si>
  <si>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การศึกษา</t>
    </r>
  </si>
  <si>
    <t>งานบริหารทั่วไปเกี่ยวกับการศึกษา</t>
  </si>
  <si>
    <t>งานระดับก่องวัยเรียนและปฐมศึกษา</t>
  </si>
  <si>
    <t>งานระดับมัธยมศึกษา</t>
  </si>
  <si>
    <t>งานศึกษาไม่กำหนดระดับ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</si>
  <si>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สาธารณสุข</t>
    </r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</si>
  <si>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</si>
  <si>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</si>
  <si>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</si>
  <si>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งานศูนย์บริการสาธารณสุข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</si>
  <si>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สังคมสงเคราะห์</t>
    </r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</si>
  <si>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</si>
  <si>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</si>
  <si>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เคหะและชุมชน</t>
    </r>
  </si>
  <si>
    <t>งานบริหารทั่วไปเกี่ยวกับเคหะและชุมชน</t>
  </si>
  <si>
    <t>งานไฟฟ้าถนน</t>
  </si>
  <si>
    <t>งานสวนสาธารณะ</t>
  </si>
  <si>
    <t>งานกำจัดขยะมูลฝอยและสิ่งปฏิกูล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</si>
  <si>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สร้างความเข้มแข็งของชุมชน</t>
    </r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</si>
  <si>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</si>
  <si>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งานส่งเสริมและสนับสนุนความเข้มแข็งชุมชน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</si>
  <si>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การศาสนาวัฒนธรรมและนันทนาการ</t>
    </r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</si>
  <si>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</si>
  <si>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</si>
  <si>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</si>
  <si>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</si>
  <si>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อุตสาหกรรมและการโยธา</t>
    </r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</si>
  <si>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</si>
  <si>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</si>
  <si>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การเกษตร</t>
    </r>
  </si>
  <si>
    <t>งานส่งเสริมการเกษตร</t>
  </si>
  <si>
    <t>งานอนุรักษ์แหล่งน้ำและป่าไม้</t>
  </si>
  <si>
    <r>
      <t xml:space="preserve">รายงานรายจ่ายในการดำเนินงานที่จ่ายจากเงินรายรับตามแผนงาน  </t>
    </r>
    <r>
      <rPr>
        <b/>
        <u val="double"/>
        <sz val="16"/>
        <rFont val="TH SarabunPSK"/>
        <family val="2"/>
      </rPr>
      <t xml:space="preserve"> การพาณิชย์</t>
    </r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</si>
  <si>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</si>
  <si>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</si>
  <si>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</si>
  <si>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</si>
  <si>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การรักษาความสงบภายใน</t>
  </si>
  <si>
    <t>สาธารณสุข</t>
  </si>
  <si>
    <t>สังคมสงเคราะห์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</si>
  <si>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</si>
  <si>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</si>
  <si>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</si>
  <si>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</si>
  <si>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</si>
  <si>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รายงานรายจ่ายในการดำเนินงานที่จ่ายจากเงินสะสม</t>
  </si>
  <si>
    <t>งบแสดงผลการดำเนินงานจ่ายจากเงินรายรับ</t>
  </si>
  <si>
    <t xml:space="preserve">รวม </t>
  </si>
  <si>
    <t xml:space="preserve">ครุภัณฑ์ </t>
  </si>
  <si>
    <t>ภาษีอากร (เก็บเอง)</t>
  </si>
  <si>
    <t>ภาษีอากร (รัฐจัดสรร)</t>
  </si>
  <si>
    <t>และใบอนุญาต</t>
  </si>
  <si>
    <t>รายได้จากสาธารณูปโภค</t>
  </si>
  <si>
    <t>อุดหนุนทั่วไป</t>
  </si>
  <si>
    <t>รายรับสูงกว่าหรือ(ต่ำกว่า)รายจ่าย</t>
  </si>
  <si>
    <t>ค่าธรรมเนียมค่าปรับ -</t>
  </si>
  <si>
    <t>อุดหนุนระบุวัตถุประสงค์</t>
  </si>
  <si>
    <t>งบแสดงผลการดำเนินงานจ่ายจากเงินรายรับและเงินสะสม</t>
  </si>
  <si>
    <t>ณ  วันที่  30  กันยายน 2560</t>
  </si>
  <si>
    <t xml:space="preserve">เงินฝากธนาคาร  (ออมทรัพย์) 459-0-16097-8 (ศก.ชุมชน) </t>
  </si>
  <si>
    <t>เงินฝากธนาคาร  (ประจำ 1 ปี) 459-2-01147-3</t>
  </si>
  <si>
    <t>รายได้ค้างรับจากรัฐบาล</t>
  </si>
  <si>
    <t>110611</t>
  </si>
  <si>
    <t>ลูกหนี้เงินยืมเงินตามงบประมาณ</t>
  </si>
  <si>
    <t>110605</t>
  </si>
  <si>
    <t>140300</t>
  </si>
  <si>
    <t>เงินอุดหนุนเฉพาะกิจ (ข้าราชการถ่ายโอนฯ เงินเดือน)</t>
  </si>
  <si>
    <t>เงินอุดหนุนเฉพาะกิจ (ข้าราชการถ่ายโอนฯ ค่าเทอมบุตร)</t>
  </si>
  <si>
    <t>เงินอุดหนุนเฉพาะกิจ (ข้าราชการถ่ายโอนฯ ค่าเช่าบ้าน)</t>
  </si>
  <si>
    <t>เงินอุดหนุนเฉพาะกิจ (ข้าราชการถ่ายโอนฯ เงินสบทบ กบข.)</t>
  </si>
  <si>
    <t>เงินอุดหนุนเฉพาะกิจ (ข้าราชการถ่ายโอนฯ เงินประจำตำแหน่ง)</t>
  </si>
  <si>
    <t>เงินอุดหนุนเฉพาะกิจ (สนับสนุนศูนย์พัฒนาเด็กเล็ก)</t>
  </si>
  <si>
    <r>
      <t xml:space="preserve"> เงินรายรับ  </t>
    </r>
    <r>
      <rPr>
        <b/>
        <sz val="14"/>
        <rFont val="TH SarabunPSK"/>
        <family val="2"/>
      </rPr>
      <t>(หมายเหตุ 1)</t>
    </r>
  </si>
  <si>
    <t>400000</t>
  </si>
  <si>
    <t>230100</t>
  </si>
  <si>
    <t>เงินรับฝากรอคืนจังหวัด</t>
  </si>
  <si>
    <t>230116</t>
  </si>
  <si>
    <t>210400</t>
  </si>
  <si>
    <t>เงินอุดหนุนระบุวัตถุประสงค์(ค้างจ่าย)</t>
  </si>
  <si>
    <t>(นางณัฏฐวี  มงคลศรี)</t>
  </si>
  <si>
    <t>งบทดลอง  (หลังปิดบัญชี)</t>
  </si>
  <si>
    <t>ณ   วันที่   30  กันยายน  2560</t>
  </si>
  <si>
    <t>เดบิต</t>
  </si>
  <si>
    <t xml:space="preserve">11012001            </t>
  </si>
  <si>
    <t xml:space="preserve">11012002            </t>
  </si>
  <si>
    <t>ลูกหนี้ เงินยืมโครงการเศรษฐกิจชุมชน</t>
  </si>
  <si>
    <t xml:space="preserve">11041000            </t>
  </si>
  <si>
    <t>ลูกหนี้ ภาษีโรงเรือนและที่ดิน</t>
  </si>
  <si>
    <t xml:space="preserve">11043001            </t>
  </si>
  <si>
    <t>ลูกหนี้ ภาษีบำรุงท้องที่</t>
  </si>
  <si>
    <t xml:space="preserve">11043002            </t>
  </si>
  <si>
    <t xml:space="preserve">21010000            </t>
  </si>
  <si>
    <t xml:space="preserve">31000000            </t>
  </si>
  <si>
    <t xml:space="preserve">32000000            </t>
  </si>
  <si>
    <t>(นายอำนวย  เหมือนวงษ์ธรรม)</t>
  </si>
  <si>
    <t xml:space="preserve">งบรายรับ - รายจ่าย  </t>
  </si>
  <si>
    <t>ประจำปีงบประมาณ 2560</t>
  </si>
  <si>
    <t>รายรับจริง</t>
  </si>
  <si>
    <t xml:space="preserve">สูง  </t>
  </si>
  <si>
    <t>ต่ำ</t>
  </si>
  <si>
    <t>รายรับตามประมาณการรายรับ</t>
  </si>
  <si>
    <t>- หมวดภาษีอากร (จัดเก็บเอง)</t>
  </si>
  <si>
    <t>- หมวดภาษีอากร (จัดสรร)</t>
  </si>
  <si>
    <t>- หมวดค่าธรรมเนียมค่าปรับและค่าใบอนุญาต</t>
  </si>
  <si>
    <t>- หมวดรายได้จากทรัพย์สิน</t>
  </si>
  <si>
    <t>- หมวดรายได้จากสาธารณูปโภคและการพาณิชย์</t>
  </si>
  <si>
    <t>- หมวดรายได้เบ็ดเตล็ด</t>
  </si>
  <si>
    <t>- หมวดรายได้จากทุน</t>
  </si>
  <si>
    <t>- หมวดเงินอุดหนุนทั่วไป</t>
  </si>
  <si>
    <t>-หมวดงบกลาง</t>
  </si>
  <si>
    <t>-หมวดเงินเดือน  - ฝ่ายการเมือง</t>
  </si>
  <si>
    <t>-หมวดเงินเดือน  - ฝ่ายประจำ</t>
  </si>
  <si>
    <t>-หมวดค่าตอบแทน</t>
  </si>
  <si>
    <t>-หมวดค่าใช้สอย</t>
  </si>
  <si>
    <t>-หมวดค่าวัสดุ</t>
  </si>
  <si>
    <t>-หมวดค่าสาธารณูปโภค</t>
  </si>
  <si>
    <t>-หมวดครุภัณฑ์</t>
  </si>
  <si>
    <t>-หมวดที่ดินและสิ่งก่อสร้าง</t>
  </si>
  <si>
    <t>-หมวดรายจ่ายอื่นๆ</t>
  </si>
  <si>
    <t>-หมวดเงินอุดหนุน</t>
  </si>
  <si>
    <t>รวมรายจ่ายตามงบประมาณการรายจ่ายทั้งสิ้น</t>
  </si>
  <si>
    <t>รายจ่ายที่จ่ายจากเงินอุดหนุนระบุวัตถุประสงค์</t>
  </si>
  <si>
    <t xml:space="preserve">รวมรายจ่ายทั้งสิ้น   </t>
  </si>
  <si>
    <t>รายรับตามประมาณการสูงกว่ารายจ่าย</t>
  </si>
  <si>
    <t>(ประกอบงบทดรองหลังปิดบัญชี)</t>
  </si>
  <si>
    <t>จำนวนเงิน(บาท)</t>
  </si>
  <si>
    <r>
      <t>เงินรับฝาก</t>
    </r>
    <r>
      <rPr>
        <b/>
        <sz val="14"/>
        <rFont val="TH SarabunPSK"/>
        <family val="2"/>
      </rPr>
      <t xml:space="preserve"> (21040000)</t>
    </r>
  </si>
  <si>
    <t>เงินรับฝากภาษีหัก ณ ที่จ่าย</t>
  </si>
  <si>
    <t xml:space="preserve">21040001            </t>
  </si>
  <si>
    <t>เงินรับฝากค่าใช้จ่ายในการจัดเก็บภาษีบำรุงท้องที่ 5%</t>
  </si>
  <si>
    <t xml:space="preserve">21040004            </t>
  </si>
  <si>
    <t>เงินรับฝากส่วนลดในการจัดเก็บภาษีบำรุงท้องที่ 6%</t>
  </si>
  <si>
    <t xml:space="preserve">21040005            </t>
  </si>
  <si>
    <t>เงินรับฝากประกันซอง</t>
  </si>
  <si>
    <t xml:space="preserve">21040007            </t>
  </si>
  <si>
    <t>เงินรับฝากประกันสัญญา</t>
  </si>
  <si>
    <t xml:space="preserve">21040008            </t>
  </si>
  <si>
    <t>เงินช่วยเหลือการศึกษาบุตร - เงินอุดหนุนเฉพาะกิจ</t>
  </si>
  <si>
    <t xml:space="preserve">21040014            </t>
  </si>
  <si>
    <t xml:space="preserve">ค่าจัดการเรียนการสอน - เงินอุดหนุนเฉพาะกิจ </t>
  </si>
  <si>
    <t>ค่าตอบแทนการตรวจแบบ 10%</t>
  </si>
  <si>
    <t xml:space="preserve">21040099            </t>
  </si>
  <si>
    <t xml:space="preserve">เงินชดใช้ค่าความเสียหาย </t>
  </si>
  <si>
    <t>เงินทุนโครงการเศรษฐกิจชุมชน</t>
  </si>
  <si>
    <t>เงินรางวัลกิจกรรมเมืองสวย น้ำใส ของ อปท.</t>
  </si>
  <si>
    <t xml:space="preserve">เงินสนับสนุนศูนย์พัฒนาเด็กเล็ก </t>
  </si>
  <si>
    <t>เงินอุดหนุนโครงการยาเสพติด</t>
  </si>
  <si>
    <t xml:space="preserve">เงินอุดหนุนศูนย์ข้อมูลข่าวสาร </t>
  </si>
  <si>
    <t>รวมเป็นเงินทั้งสิ้น</t>
  </si>
  <si>
    <t xml:space="preserve">องค์การบริหารส่วนตำบลศาลายา </t>
  </si>
  <si>
    <t>ประเภทรายจ่าย</t>
  </si>
  <si>
    <t>จำนวนที่กันเงิน</t>
  </si>
  <si>
    <t>รายการกันเงินกรณีก่อหนี้ผูกพัน</t>
  </si>
  <si>
    <r>
      <t>รายจ่ายค้างจ่าย</t>
    </r>
    <r>
      <rPr>
        <b/>
        <sz val="9"/>
        <rFont val="Microsoft Sans Serif"/>
        <family val="2"/>
      </rPr>
      <t xml:space="preserve"> 2559</t>
    </r>
  </si>
  <si>
    <t>ครุภัณฑ์</t>
  </si>
  <si>
    <t xml:space="preserve">ครุภัณฑ์อื่น  </t>
  </si>
  <si>
    <t>ป้ายปากซอย</t>
  </si>
  <si>
    <t>แผนงานการศึกษา</t>
  </si>
  <si>
    <t>งานระดับก่อนวัยเรียนและประถมศึกษา</t>
  </si>
  <si>
    <t>ค่าอาหารเสริม (นม)</t>
  </si>
  <si>
    <t>แผนงานบริหารงานทั่วไป</t>
  </si>
  <si>
    <t>รายจ่ายเพื่อให้ได้มาซึ่งบริการ</t>
  </si>
  <si>
    <t>แผนงานสาธารณสุข</t>
  </si>
  <si>
    <t>รายจ่ายเกี่ยวเนื่องกับการปฏิบัติราชการที่ไม่เข้าลักษณะรายจ่ายหมวดอื่นๆ</t>
  </si>
  <si>
    <t>3.โครงการกำจัดวัชพืชและผักตบชวาในคลองต่างๆในพื้นที่ตำบลศาลายา</t>
  </si>
  <si>
    <t>2.โครงการเมืองน่าอยู่</t>
  </si>
  <si>
    <t>แผนงานเคหะและชุมชน</t>
  </si>
  <si>
    <t>ค่าบำรุงรักษาและปรับปรุงครุภัณฑ์</t>
  </si>
  <si>
    <t>รายการกันเงินกรณีไม่ได้ก่อหนี้ผูกพัน</t>
  </si>
  <si>
    <t>โครงการติดตั้งกล้อง CCTV</t>
  </si>
  <si>
    <t>ค่าตอบแทนผู้ปฏิบัติราชการฯ</t>
  </si>
  <si>
    <t>1.รถยนต์บรรทุกขยะมูลฝอย แบบอัดท้าย</t>
  </si>
  <si>
    <t>1.ป้ายซอย</t>
  </si>
  <si>
    <t>ค่าบำรุงรักษาและปรับปรุงที่ดินและสิ่งก่อสร้าง</t>
  </si>
  <si>
    <t>1.โครงการปรับปรุงศูนย์พัฒนาเด็กเล็ก</t>
  </si>
  <si>
    <t>แผนงานอุตสาหกรรมและการโยธา</t>
  </si>
  <si>
    <t>1.โครงการปรับปรุงซ่อมแซมถนน หมู่ที่ 1-5</t>
  </si>
  <si>
    <t>ค่าถมดิน</t>
  </si>
  <si>
    <t>โครงการถมดินก่อสร้างสำนักงาน อบต.ศาลายา</t>
  </si>
  <si>
    <t>งานระดับก่อนวัยเรียน
และประถมศึกษา</t>
  </si>
  <si>
    <t>เงินเดือนพนักงาน</t>
  </si>
  <si>
    <t>เงินอุดหนุนเฉพาะกิจ</t>
  </si>
  <si>
    <t>ค่าตอบแทนพนักงานจ้าง</t>
  </si>
  <si>
    <t>งานบริหารทั่วไปเกี่ยว
กับเคหะและชุมชน</t>
  </si>
  <si>
    <t>เงินเดือนพนักงานถ่ายโอน</t>
  </si>
  <si>
    <t>เงินช่วยเหลือการศึกษาบุตร</t>
  </si>
  <si>
    <t>แผนงานงบกลาง</t>
  </si>
  <si>
    <t>เงินสมทบกองทุนประกันสังคม</t>
  </si>
  <si>
    <t>เงินกองทุนบำเหน็จบำนาญข้าราชการ (กบข.)</t>
  </si>
  <si>
    <t xml:space="preserve">รวมรายจ่ายค้างจ่ายทั้งสิ้น </t>
  </si>
  <si>
    <t>ประชากรทั้งสิ้น  8,897 คน ชาย 4,111 คน หญิง 4,786 คน  (ข้อมูล ณ 30 สิงหาคม 2559)</t>
  </si>
  <si>
    <t>ค่าที่ดินฯ</t>
  </si>
  <si>
    <t>เงินเดือน</t>
  </si>
  <si>
    <t>ค้างจ่าย 2559</t>
  </si>
  <si>
    <t>ทั้งนี้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จำนวน........................บาท</t>
  </si>
  <si>
    <t>เงินสะสม 1 ตุลาคม 2559</t>
  </si>
  <si>
    <t xml:space="preserve">       รับคืนเงินสะสม</t>
  </si>
  <si>
    <t>งบแสดงฐานะทางการเงิน</t>
  </si>
  <si>
    <t>ณ วันที่  30  กันยายน  2560</t>
  </si>
  <si>
    <t>ทรัพย์สิน</t>
  </si>
  <si>
    <t>หนี้สินและเงินสะสม</t>
  </si>
  <si>
    <r>
      <t xml:space="preserve"> ทรัพย์สินตามงบทรัพย์สิน </t>
    </r>
    <r>
      <rPr>
        <b/>
        <sz val="14"/>
        <rFont val="TH SarabunPSK"/>
        <family val="2"/>
      </rPr>
      <t>(หมายเหตุ 1)</t>
    </r>
  </si>
  <si>
    <t>ทุนทรัพย์สินตามงบทรัพย์สิน</t>
  </si>
  <si>
    <t>ทุนสำรองเงินสะสม</t>
  </si>
  <si>
    <t>ลูกหนี้ - เงินทุนโครงการเศรฐกิจชุมชน</t>
  </si>
  <si>
    <t>ลูกหนี้ - ภาษีโรงเรือนและที่ดิน</t>
  </si>
  <si>
    <t>ลูกหนี้ - ภาษีบำรุงท้องที่ 89 %</t>
  </si>
  <si>
    <t>เงินคงเหลือ ณ วันที่  30  กันยายน  2560</t>
  </si>
  <si>
    <t>เงินสะสม ณ วันที่ 1  ตุลาคม  2559</t>
  </si>
  <si>
    <t>เงินฝากธนาคารกรุงไทย</t>
  </si>
  <si>
    <r>
      <t>บวก</t>
    </r>
    <r>
      <rPr>
        <sz val="14"/>
        <rFont val="TH SarabunPSK"/>
        <family val="2"/>
      </rPr>
      <t xml:space="preserve">  รายรับจริงงวดนี้สูงกว่ารายจ่ายจริง</t>
    </r>
  </si>
  <si>
    <t xml:space="preserve">     - บัญชีออมทรัพย์  เลขที่  459-0-16097-8</t>
  </si>
  <si>
    <t xml:space="preserve">        รับคืนค่าอาหารกลางวันเหลือจ่าย</t>
  </si>
  <si>
    <t xml:space="preserve">     - บัญชีออมทรัพย์  เลขที่  459-0-01073-9</t>
  </si>
  <si>
    <t xml:space="preserve">        รับคืนเงินมัดจำในการจำหน่ายน้ำมันเชื้อเพลิง</t>
  </si>
  <si>
    <t xml:space="preserve">     - บัญชีฝากประจำ เลขที่  459-2-01147-3</t>
  </si>
  <si>
    <t xml:space="preserve">        รับคืนค่าใช้สอย(ค่าลงทะเบียนอบรม ปี 59)</t>
  </si>
  <si>
    <t xml:space="preserve">        รายจ่ายค้างจ่ายเหลือจ่าย</t>
  </si>
  <si>
    <r>
      <t>หัก</t>
    </r>
    <r>
      <rPr>
        <sz val="14"/>
        <rFont val="TH SarabunPSK"/>
        <family val="2"/>
      </rPr>
      <t xml:space="preserve">    รายจ่ายจากเงินสะสม</t>
    </r>
  </si>
  <si>
    <t xml:space="preserve">        ปรับปรุงรายได้ค้างรับ-ภบท.</t>
  </si>
  <si>
    <t xml:space="preserve">        เงินสะสม ณ วันที่  30  กันยายน  2560</t>
  </si>
  <si>
    <t>(นายเอกชัย  เอกสัมพันทิพย์)</t>
  </si>
  <si>
    <t xml:space="preserve">       รับคืนรายจ่ายค้างจ่าย ปี 2560</t>
  </si>
  <si>
    <t xml:space="preserve">      ปรับปรุงยอดเงินสะสมระหว่างปี</t>
  </si>
  <si>
    <t xml:space="preserve">       ปรับปรุงยอดเงินสะสมระหว่างปี</t>
  </si>
  <si>
    <t>เงินสะสม 30 กันยายน 2560 ประกอบด้วย</t>
  </si>
  <si>
    <t xml:space="preserve">     1. ลูกหนี้ภาษีโรงเรือนและที่ดิน</t>
  </si>
  <si>
    <t xml:space="preserve">     2. ลูกหนี้ภาษีบำรุงท้องที่</t>
  </si>
  <si>
    <t xml:space="preserve">     3. ลูกหนี้ภาษีป้าย</t>
  </si>
  <si>
    <t xml:space="preserve">     4. จ่ายขาดเงินสะสมค้างจ่าย จำนวน 2 โครงการ ประกอบด้วย</t>
  </si>
  <si>
    <t xml:space="preserve">     4. เงินสะสมที่สามารถนำไปใช้ได้</t>
  </si>
  <si>
    <t>ทั้งนี้ในปีงบประมาณ 2560 ได้จ่ายขาดเงินสะสม จำนวน  2,376,000 บาท</t>
  </si>
  <si>
    <t xml:space="preserve">        ปรับปรุงเงินมัดจำในการจำหน่ายน้ำมันเชื้อเพลิง</t>
  </si>
  <si>
    <t>ศูนย์พัฒนาเด็กเล็กในสังกัดจำนวน 2 ศูนย์ ได้แก่</t>
  </si>
  <si>
    <t xml:space="preserve">    1) ศูนย์พัฒนาเด็กเล็กบ้านศาลายา</t>
  </si>
  <si>
    <t xml:space="preserve">    2) ศูนย์พัฒนาเด็กเล็กบ้านวัดสุวรรณ</t>
  </si>
  <si>
    <t>กลุ่มอาชีพทำยางรัดผม หมู่ที่ 4</t>
  </si>
  <si>
    <t>กลุ่มอาชีพทำขนมไทยชาววัง หมู่ที่ 5</t>
  </si>
  <si>
    <t>กลุ่มอาชีพทำการเกษตรทำนาข้าว หมู่ที่ 1</t>
  </si>
  <si>
    <t>กลุ่มอาชีพเกษตรกร หมู่ที่ 2</t>
  </si>
  <si>
    <t>กลุ่มอาชีพทำการเกษตรทำนาข้าว หมู่ที่ 3</t>
  </si>
  <si>
    <t>เพียง ณ วันที่ 30 กันยายน 2560</t>
  </si>
  <si>
    <t>ณ 30 กันยายน 2559</t>
  </si>
  <si>
    <t>ณ 30 กันยายน 2560</t>
  </si>
  <si>
    <t>ผลต่าง</t>
  </si>
  <si>
    <t/>
  </si>
  <si>
    <t>เงินสะสม (หมายเหตุ 8)</t>
  </si>
  <si>
    <t>ผลต่างของการดำเนินงานไตรมาส</t>
  </si>
  <si>
    <t>ลงชื่อ............................................ผู้จัดทำ</t>
  </si>
  <si>
    <t>ลงชื่อ............................................ผู้ตรวจสอบ</t>
  </si>
  <si>
    <t>ลงชื่อ...............................................ทราบ</t>
  </si>
  <si>
    <t>ลงชื่อ................................................ทราบ</t>
  </si>
  <si>
    <t>ตั้งแต่วันที่ 1 ตุลาคม 2559  ถึง  วันที่ 30 กันยายน 2560</t>
  </si>
  <si>
    <t>ตั้งแต่วันที่  1  ตุลาคม  2559  ถึง  วันที่  30  กันยายน   2560</t>
  </si>
  <si>
    <t>แผนงานการรักษาความสงบภายใน</t>
  </si>
  <si>
    <t>รายจ่ายจากเงินอุดหนุนเฉพาะกิจ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</si>
  <si>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</si>
  <si>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</si>
  <si>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แผนงานการพาณิชย์</t>
  </si>
  <si>
    <t>รายจ่ายจากเงินสะสม</t>
  </si>
  <si>
    <t>เงินฝาก-ประจำ 1 ปี (459-2-01147-3)</t>
  </si>
  <si>
    <t>เงินฝาก-ออมทรัพย์ (459-0-01073-9)</t>
  </si>
  <si>
    <t>เงินฝาก-ออมทรัพย์ (459-0-16097-8)</t>
  </si>
  <si>
    <t>สำหรับปี สิ้นสุดวันที่ 30 กันยายน 2560</t>
  </si>
  <si>
    <t>เงินสดและเงินฝากธนาคาร (หมายเหตุ 3)</t>
  </si>
  <si>
    <r>
      <t xml:space="preserve"> รายจ่ายค้างจ่าย  </t>
    </r>
    <r>
      <rPr>
        <b/>
        <sz val="14"/>
        <rFont val="TH SarabunPSK"/>
        <family val="2"/>
      </rPr>
      <t>(หมายเหตุ 2)</t>
    </r>
  </si>
  <si>
    <r>
      <t xml:space="preserve"> เงินรับฝาก  </t>
    </r>
    <r>
      <rPr>
        <b/>
        <sz val="14"/>
        <rFont val="TH SarabunPSK"/>
        <family val="2"/>
      </rPr>
      <t>(หมายเหตุ 3)</t>
    </r>
  </si>
  <si>
    <r>
      <t xml:space="preserve">รายจ่ายค้างจ่าย </t>
    </r>
    <r>
      <rPr>
        <b/>
        <sz val="14"/>
        <color indexed="8"/>
        <rFont val="TH SarabunPSK"/>
        <family val="2"/>
      </rPr>
      <t>(หมายเหตุ 2)</t>
    </r>
  </si>
  <si>
    <r>
      <t xml:space="preserve">เงินรับฝาก </t>
    </r>
    <r>
      <rPr>
        <b/>
        <sz val="14"/>
        <rFont val="TH SarabunPSK"/>
        <family val="2"/>
      </rPr>
      <t>(หมายเหตุ 3)</t>
    </r>
  </si>
  <si>
    <t xml:space="preserve">                                              องค์การบริหารส่วนตำบลศาลายา  อำเภอพุทธมณฑล  จังหวัดนครปฐม                                            </t>
  </si>
  <si>
    <t>รหัส
บัญชี</t>
  </si>
  <si>
    <t>รับจริงเดือนนี้</t>
  </si>
  <si>
    <t>รวมตั้งแต่ต้นปี</t>
  </si>
  <si>
    <t>+ สูงหรือ (- ต่ำกว่า)</t>
  </si>
  <si>
    <t>ประมาณการรายรับ</t>
  </si>
  <si>
    <t>รายได้จัดเก็บเอง</t>
  </si>
  <si>
    <t>หมวดภาษีอากร</t>
  </si>
  <si>
    <t>ภาษีโรงเรือนและที่ดิน</t>
  </si>
  <si>
    <t>411001</t>
  </si>
  <si>
    <t>ภาษีบำรุงท้องที่</t>
  </si>
  <si>
    <t>411002</t>
  </si>
  <si>
    <t>ภาษีป้าย</t>
  </si>
  <si>
    <t>411003</t>
  </si>
  <si>
    <t>หมวดค่าธรรมเนียม ค่าปรับ และใบอนุญาต</t>
  </si>
  <si>
    <t>ค่าธรรมเนียมเกี่ยวกับใบอนุญาตการขายสุรา</t>
  </si>
  <si>
    <t>412103</t>
  </si>
  <si>
    <t>ค่าธรรมเนียมเกี่ยวกับการควบคุมอาคาร</t>
  </si>
  <si>
    <t>412106</t>
  </si>
  <si>
    <t>ค่าธรรมเนียมเก็บและขนมูลฝอย</t>
  </si>
  <si>
    <t>412107</t>
  </si>
  <si>
    <t>ค่าธรรมเนียมเก็บขนอุจจาระหรือสิ่งปฏิกูล</t>
  </si>
  <si>
    <t>412108</t>
  </si>
  <si>
    <t>ค่าธรรมเนียมหนังสือรับรองสถานที่จำหน่าย,สะสมอาหารฯ</t>
  </si>
  <si>
    <t>412109</t>
  </si>
  <si>
    <t>ค่าธรรมเนียมปิดประกาศหรือแผ่นปลิว เพื่อการโฆษณา</t>
  </si>
  <si>
    <t>412111</t>
  </si>
  <si>
    <t>ค่าธรรมเนียมจดทะเบียนพาณิชย์</t>
  </si>
  <si>
    <t>412128</t>
  </si>
  <si>
    <t>ค่าธรรมเนียมอื่นๆ</t>
  </si>
  <si>
    <t>412199</t>
  </si>
  <si>
    <t>ค่าปรับการผิดสัญญา</t>
  </si>
  <si>
    <t>412210</t>
  </si>
  <si>
    <t>ค่าใบอนุญาตประกอบกิจการที่เป็นอันตรายต่อสุขภาพ</t>
  </si>
  <si>
    <t>412303</t>
  </si>
  <si>
    <t>ค่าใบอนุญาตจัดตั้งสถานที่จำหน่ายหรือสถานที่สะสมอาหารฯ</t>
  </si>
  <si>
    <t>412304</t>
  </si>
  <si>
    <t>ค่าใบอนุญาตให้ตั้งตลาดเอกชน</t>
  </si>
  <si>
    <t>412306</t>
  </si>
  <si>
    <t>ค่าใบอนุญาตเกี่ยวกับการควบคุมอาคาร</t>
  </si>
  <si>
    <t>412307</t>
  </si>
  <si>
    <t>ค่าใบอนุญาตอื่นๆ</t>
  </si>
  <si>
    <t>412399</t>
  </si>
  <si>
    <t>หมวดรายได้จากทรัพย์สิน</t>
  </si>
  <si>
    <t>ดอกเบี้ย</t>
  </si>
  <si>
    <t>413003</t>
  </si>
  <si>
    <t>หมวดรายได้จากสาธารณูปโภคและการพาณิชย์</t>
  </si>
  <si>
    <t>รายได้จากสาธารณูปโภคและการพาณิชย์</t>
  </si>
  <si>
    <t>414006</t>
  </si>
  <si>
    <t>รายได้จากสาธารณูปโภคอื่นๆ</t>
  </si>
  <si>
    <t>414999</t>
  </si>
  <si>
    <t>หมวดรายได้เบ็ดเตล็ด</t>
  </si>
  <si>
    <t>ค่าขายแบบแปลน</t>
  </si>
  <si>
    <t>415004</t>
  </si>
  <si>
    <t xml:space="preserve">รายได้เบ็ดเตล็ดอื่น ๆ </t>
  </si>
  <si>
    <t>415999</t>
  </si>
  <si>
    <t>หมวดรายได้จากทุน</t>
  </si>
  <si>
    <t>ค่าขายทอดตลาดทรัพย์สิน</t>
  </si>
  <si>
    <t>416001</t>
  </si>
  <si>
    <t>รายได้ที่รัฐบาลจัดเก็บแล้วจัดสรรให้องค์กรปกครองส่วนท้องถิ่น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</si>
  <si>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</si>
  <si>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</si>
  <si>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421001</t>
  </si>
  <si>
    <t>ภาษีมูลค่าเพิ่มตาม พรบ.กำหนดแผนฯ</t>
  </si>
  <si>
    <t>421002</t>
  </si>
  <si>
    <t xml:space="preserve"> ภาษีมูลค่าเพิ่ม 1 ใน 9</t>
  </si>
  <si>
    <t>421004</t>
  </si>
  <si>
    <t>ภาษีธุรกิจเฉพาะ</t>
  </si>
  <si>
    <t>421005</t>
  </si>
  <si>
    <t>ภาษีสุรา</t>
  </si>
  <si>
    <t>421006</t>
  </si>
  <si>
    <t>ภาษีสรรพสามิต</t>
  </si>
  <si>
    <t>421007</t>
  </si>
  <si>
    <t>ค่าภาคหลวงและค่าธรรมเนียมป่าไม้</t>
  </si>
  <si>
    <t>421011</t>
  </si>
  <si>
    <t>ค่าภาคหลวงแร่</t>
  </si>
  <si>
    <t>421012</t>
  </si>
  <si>
    <t>ค่าภาคหลวงปิโตรเลียม</t>
  </si>
  <si>
    <t>421013</t>
  </si>
  <si>
    <t>ค่าธรรมเนียมจดทะเบียนสิทธิและนิติกรรมที่ดิน</t>
  </si>
  <si>
    <t>421015</t>
  </si>
  <si>
    <t>ค่าธรรมเนียมน้ำบาดาล</t>
  </si>
  <si>
    <t>421017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</si>
  <si>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</si>
  <si>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</si>
  <si>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เงินอุดหนุนทั่วไป สำหรับดำเนินการตามอำนาจหน้าที่ฯ</t>
  </si>
  <si>
    <t>431002</t>
  </si>
  <si>
    <t>เงินอุดหนุนทั่วไป โดยระบุวัตถุประสงค์/เฉพาะกิจ</t>
  </si>
  <si>
    <t>441003</t>
  </si>
  <si>
    <t>รวมรายรับตามประมาณการทั้งสิ้น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</si>
  <si>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</si>
  <si>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เงินอุดหนุนระบุวัตถุประสงค์ - สนับสนุนศูนย์เด็กเล็ก</t>
  </si>
  <si>
    <t>เงินอุดหนุนระบุวัตถุประสงค์ - งบถ่ายโอนบุคลากร(เงินเดือน)</t>
  </si>
  <si>
    <t>เงินอุดหนุนระบุวัตถุประสงค์ - งบถ่ายโอนบุคลากร(เงินประจำตำแหน่ง)</t>
  </si>
  <si>
    <t>เงินอุดหนุนระบุวัตถุประสงค์ - งบถ่ายโอนบุคลากร(ค่าเช่าบ้าน)</t>
  </si>
  <si>
    <t>เงินอุดหนุนระบุวัตถุประสงค์ - งบถ่ายโอนบุคลากร(ค่าเทอมบุตร)</t>
  </si>
  <si>
    <t>เงินอุดหนุนระบุวัตถุประสงค์ - งบถ่ายโอนบุคลากร (กบข.)</t>
  </si>
  <si>
    <t>จ่ายจริง</t>
  </si>
  <si>
    <t>เดือนนี้</t>
  </si>
  <si>
    <t xml:space="preserve">รายรับจริงประกอบงบทดลอง </t>
  </si>
  <si>
    <t>รายละเอียดประกอบงบทดลอง</t>
  </si>
  <si>
    <t>รวมรายจ่ายตามงบประมาณรายจ่ายทั้งสิ้น</t>
  </si>
  <si>
    <t>รายจ่ายจากเงินอุดหนุนระบุวัตถุประสงค์/เฉพาะกิจ</t>
  </si>
  <si>
    <t>รวมรายจ่ายจากเงินอุดหนุนระบุวัตถุประสงค์/เฉพาะกิจ</t>
  </si>
  <si>
    <t>รวมรายจ่ายทั้งสิ้น</t>
  </si>
  <si>
    <r>
      <t xml:space="preserve">รายจ่ายค้างจ่าย   </t>
    </r>
    <r>
      <rPr>
        <b/>
        <sz val="14"/>
        <rFont val="TH SarabunPSK"/>
        <family val="2"/>
      </rPr>
      <t>(หมายเหตุ 2)</t>
    </r>
  </si>
  <si>
    <r>
      <t xml:space="preserve">เงินรับฝาก </t>
    </r>
    <r>
      <rPr>
        <b/>
        <sz val="14"/>
        <rFont val="TH SarabunPSK"/>
        <family val="2"/>
      </rPr>
      <t xml:space="preserve"> (หมายเหตุ 3)</t>
    </r>
  </si>
  <si>
    <t>หมายเหตุ 4 ลูกหนี้ค่าภาษี</t>
  </si>
  <si>
    <t>หมายเหตุ 5 ลูกหนี้อื่นๆ</t>
  </si>
  <si>
    <t>หมายเหตุ 6 รายจ่ายค้างจ่าย</t>
  </si>
  <si>
    <t>หมายเหตุ 7  เงินรับฝาก</t>
  </si>
  <si>
    <t>หมายเหตุ  8  เงินสะสม</t>
  </si>
  <si>
    <t>รายละเอียดแนบท้ายหมายเหตุ 8   เงินสะสม</t>
  </si>
  <si>
    <t>รายจ่ายค้างจ่าย (หมายเหตุ 6)</t>
  </si>
  <si>
    <t>เงินรับฝาก (หมายเหตุ 7)</t>
  </si>
  <si>
    <t>โครงการขุดลอกผักตบชวาพร้อมกำจัดและถากถางต้นไม้ในเขต อบต.ศาลายา หมู่ที่ 1-5</t>
  </si>
  <si>
    <t>โครงการเจาะบ่อบาดาลพร้อมซับเมอร์ส หมู่ที่ 1 ขนาดเส้นผ่านศูนย์กลาง 4 นิ้ว</t>
  </si>
  <si>
    <t>โครงการเจาะบ่อบาดาลพร้อมซับเมอร์ส หมู่ที่ 3 ขนาดเส้นผ่านศูนย์กลาง 6 นิ้ว</t>
  </si>
  <si>
    <t>เงินสมทบกองทุน กบข.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</si>
  <si>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</si>
  <si>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</si>
  <si>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</si>
  <si>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</si>
  <si>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</si>
  <si>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</si>
  <si>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</si>
  <si>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</si>
  <si>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</si>
  <si>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</si>
  <si>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รับสูง หรือ (ต่ำ) กว่าจ่าย</t>
  </si>
  <si>
    <t>รับเงินสะสม</t>
  </si>
  <si>
    <t>ตามรายละเอียดแนบท้ายหมายเหตุ 8</t>
  </si>
  <si>
    <t>ลงชื่อ............................................................ผู้จัดทำ</t>
  </si>
  <si>
    <t>ลงชื่อ......................................................ทราบ</t>
  </si>
  <si>
    <t>ลงชื่อ...................................................ทราบ</t>
  </si>
  <si>
    <t>ลงชื่อ.................................................ผู้ตรวจสอบ</t>
  </si>
  <si>
    <t>เงินช่วยเหลือการศึกษาบุตร ขรก.ถ่ายโอน - เงินอุดหนุนเฉพาะกิจ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</si>
</sst>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  <numFmt numFmtId="200" formatCode="0.00_);\(0.00\)"/>
    <numFmt numFmtId="201" formatCode="[$-409]h:mm:ss\ AM/PM"/>
    <numFmt numFmtId="202" formatCode="[$-409]dddd\,\ mmmm\ dd\,\ yyyy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\(#,##0.0\);\(&quot;&quot;#,##0.00\)"/>
    <numFmt numFmtId="212" formatCode="#,##0.00_);\(&quot;-&quot;##,#00.00\)"/>
    <numFmt numFmtId="213" formatCode="\(#,##0.00\);\(&quot;&quot;##,#00.00\)"/>
    <numFmt numFmtId="214" formatCode="[$-1041E]#,##0.00;\(#,##0.00\);&quot;-&quot;"/>
    <numFmt numFmtId="215" formatCode="&quot;+  &quot;#,##0.00_);&quot;-  &quot;#,##0.00"/>
  </numFmts>
  <fonts count="10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u val="singleAccounting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name val="Arial"/>
      <family val="2"/>
    </font>
    <font>
      <u val="single"/>
      <sz val="16"/>
      <name val="TH SarabunPSK"/>
      <family val="2"/>
    </font>
    <font>
      <sz val="16"/>
      <name val="TH SarabunIT๙"/>
      <family val="2"/>
    </font>
    <font>
      <b/>
      <sz val="18"/>
      <name val="TH SarabunPSK"/>
      <family val="2"/>
    </font>
    <font>
      <sz val="13.5"/>
      <name val="TH SarabunPSK"/>
      <family val="2"/>
    </font>
    <font>
      <b/>
      <u val="double"/>
      <sz val="16"/>
      <name val="TH SarabunPSK"/>
      <family val="2"/>
    </font>
    <font>
      <b/>
      <sz val="13.5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9"/>
      <name val="Tahoma"/>
      <family val="2"/>
    </font>
    <font>
      <b/>
      <sz val="18"/>
      <name val="Tahoma"/>
      <family val="2"/>
    </font>
    <font>
      <sz val="9"/>
      <name val="Tahoma"/>
      <family val="2"/>
    </font>
    <font>
      <sz val="14"/>
      <color indexed="33"/>
      <name val="Tahoma"/>
      <family val="2"/>
    </font>
    <font>
      <sz val="9"/>
      <name val="Microsoft Sans Serif"/>
      <family val="2"/>
    </font>
    <font>
      <b/>
      <sz val="11"/>
      <name val="Microsoft Sans Serif"/>
      <family val="2"/>
    </font>
    <font>
      <b/>
      <sz val="9"/>
      <name val="Microsoft Sans Serif"/>
      <family val="2"/>
    </font>
    <font>
      <b/>
      <u val="single"/>
      <sz val="9"/>
      <name val="Microsoft Sans Serif"/>
      <family val="2"/>
    </font>
    <font>
      <b/>
      <sz val="10"/>
      <name val="Microsoft Sans Serif"/>
      <family val="2"/>
    </font>
    <font>
      <u val="single"/>
      <sz val="14"/>
      <name val="TH SarabunPSK"/>
      <family val="2"/>
    </font>
    <font>
      <b/>
      <u val="single"/>
      <sz val="15"/>
      <name val="TH SarabunPSK"/>
      <family val="2"/>
    </font>
    <font>
      <b/>
      <sz val="17"/>
      <name val="TH SarabunPSK"/>
      <family val="2"/>
    </font>
    <font>
      <b/>
      <sz val="17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2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9"/>
      <name val="TH SarabunPSK"/>
      <family val="2"/>
    </font>
    <font>
      <b/>
      <sz val="17"/>
      <color indexed="8"/>
      <name val="Tahoma"/>
      <family val="2"/>
    </font>
    <font>
      <sz val="16"/>
      <color indexed="8"/>
      <name val="Cordia New"/>
      <family val="0"/>
    </font>
    <font>
      <sz val="14"/>
      <color indexed="8"/>
      <name val="Angsana New"/>
      <family val="0"/>
    </font>
    <font>
      <sz val="11"/>
      <color indexed="8"/>
      <name val="Calibri"/>
      <family val="0"/>
    </font>
    <font>
      <b/>
      <sz val="14"/>
      <color indexed="8"/>
      <name val="CordiaUPC"/>
      <family val="0"/>
    </font>
    <font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FF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7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>
        <color rgb="FFA9A9A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>
        <color rgb="FFA9A9A9"/>
      </left>
      <right>
        <color indexed="63"/>
      </right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A9A9A9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>
        <color rgb="FFA9A9A9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/>
      <right style="thin"/>
      <top style="thin"/>
      <bottom style="thin">
        <color rgb="FFA9A9A9"/>
      </bottom>
    </border>
    <border>
      <left style="thin"/>
      <right style="thin"/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>
        <color rgb="FFA9A9A9"/>
      </top>
      <bottom>
        <color indexed="63"/>
      </bottom>
    </border>
    <border>
      <left style="thin"/>
      <right style="thin"/>
      <top style="thin">
        <color rgb="FFA9A9A9"/>
      </top>
      <bottom>
        <color indexed="63"/>
      </bottom>
    </border>
    <border>
      <left/>
      <right/>
      <top style="thin">
        <color rgb="FFA9A9A9"/>
      </top>
      <bottom>
        <color indexed="63"/>
      </bottom>
    </border>
    <border>
      <left style="thin"/>
      <right style="thin"/>
      <top>
        <color indexed="63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>
      <alignment/>
      <protection/>
    </xf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22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81" fillId="23" borderId="1" applyNumberFormat="0" applyAlignment="0" applyProtection="0"/>
    <xf numFmtId="0" fontId="82" fillId="24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85" fillId="20" borderId="5" applyNumberFormat="0" applyAlignment="0" applyProtection="0"/>
    <xf numFmtId="0" fontId="0" fillId="32" borderId="6" applyNumberFormat="0" applyFon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9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3" fontId="4" fillId="0" borderId="11" xfId="39" applyFont="1" applyBorder="1" applyAlignment="1">
      <alignment/>
    </xf>
    <xf numFmtId="43" fontId="4" fillId="0" borderId="12" xfId="39" applyFont="1" applyBorder="1" applyAlignment="1">
      <alignment/>
    </xf>
    <xf numFmtId="43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3" fontId="4" fillId="0" borderId="0" xfId="3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9" applyFont="1" applyBorder="1" applyAlignment="1">
      <alignment horizontal="right"/>
    </xf>
    <xf numFmtId="43" fontId="4" fillId="0" borderId="13" xfId="39" applyFont="1" applyBorder="1" applyAlignment="1">
      <alignment/>
    </xf>
    <xf numFmtId="43" fontId="4" fillId="0" borderId="14" xfId="39" applyFont="1" applyBorder="1" applyAlignment="1">
      <alignment/>
    </xf>
    <xf numFmtId="43" fontId="4" fillId="0" borderId="10" xfId="39" applyFont="1" applyBorder="1" applyAlignment="1">
      <alignment/>
    </xf>
    <xf numFmtId="43" fontId="6" fillId="0" borderId="11" xfId="39" applyFont="1" applyBorder="1" applyAlignment="1">
      <alignment/>
    </xf>
    <xf numFmtId="43" fontId="6" fillId="0" borderId="12" xfId="39" applyFont="1" applyBorder="1" applyAlignment="1">
      <alignment/>
    </xf>
    <xf numFmtId="43" fontId="6" fillId="0" borderId="0" xfId="39" applyFont="1" applyBorder="1" applyAlignment="1">
      <alignment/>
    </xf>
    <xf numFmtId="43" fontId="6" fillId="0" borderId="0" xfId="39" applyFont="1" applyAlignment="1">
      <alignment/>
    </xf>
    <xf numFmtId="0" fontId="8" fillId="0" borderId="0" xfId="0" applyFont="1" applyAlignment="1">
      <alignment/>
    </xf>
    <xf numFmtId="43" fontId="8" fillId="0" borderId="12" xfId="39" applyFont="1" applyBorder="1" applyAlignment="1">
      <alignment/>
    </xf>
    <xf numFmtId="0" fontId="5" fillId="0" borderId="0" xfId="0" applyFont="1" applyAlignment="1">
      <alignment/>
    </xf>
    <xf numFmtId="43" fontId="8" fillId="0" borderId="0" xfId="39" applyFont="1" applyAlignment="1">
      <alignment/>
    </xf>
    <xf numFmtId="43" fontId="8" fillId="0" borderId="15" xfId="39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3" fontId="5" fillId="0" borderId="15" xfId="39" applyFont="1" applyBorder="1" applyAlignment="1">
      <alignment/>
    </xf>
    <xf numFmtId="0" fontId="8" fillId="0" borderId="16" xfId="0" applyFont="1" applyBorder="1" applyAlignment="1">
      <alignment/>
    </xf>
    <xf numFmtId="43" fontId="8" fillId="0" borderId="0" xfId="39" applyFont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39" applyFont="1" applyBorder="1" applyAlignment="1">
      <alignment horizontal="center" vertical="center"/>
    </xf>
    <xf numFmtId="43" fontId="4" fillId="0" borderId="12" xfId="39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7" xfId="39" applyFont="1" applyBorder="1" applyAlignment="1">
      <alignment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39" applyFont="1" applyAlignment="1">
      <alignment vertical="center"/>
    </xf>
    <xf numFmtId="43" fontId="8" fillId="0" borderId="0" xfId="39" applyFont="1" applyBorder="1" applyAlignment="1">
      <alignment vertical="center"/>
    </xf>
    <xf numFmtId="43" fontId="4" fillId="0" borderId="0" xfId="39" applyFont="1" applyAlignment="1">
      <alignment vertical="center"/>
    </xf>
    <xf numFmtId="43" fontId="4" fillId="0" borderId="12" xfId="39" applyFont="1" applyBorder="1" applyAlignment="1">
      <alignment vertical="center"/>
    </xf>
    <xf numFmtId="43" fontId="4" fillId="0" borderId="0" xfId="3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94" fontId="4" fillId="0" borderId="0" xfId="0" applyNumberFormat="1" applyFont="1" applyAlignment="1">
      <alignment vertical="center"/>
    </xf>
    <xf numFmtId="43" fontId="4" fillId="0" borderId="13" xfId="39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43" fontId="4" fillId="0" borderId="18" xfId="39" applyFont="1" applyBorder="1" applyAlignment="1">
      <alignment vertical="center"/>
    </xf>
    <xf numFmtId="43" fontId="13" fillId="0" borderId="12" xfId="39" applyFont="1" applyBorder="1" applyAlignment="1">
      <alignment vertical="center"/>
    </xf>
    <xf numFmtId="43" fontId="13" fillId="0" borderId="0" xfId="39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43" fontId="4" fillId="0" borderId="19" xfId="39" applyFont="1" applyBorder="1" applyAlignment="1">
      <alignment vertical="center"/>
    </xf>
    <xf numFmtId="43" fontId="4" fillId="0" borderId="20" xfId="39" applyFont="1" applyBorder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5" fillId="0" borderId="21" xfId="39" applyFont="1" applyBorder="1" applyAlignment="1">
      <alignment/>
    </xf>
    <xf numFmtId="43" fontId="5" fillId="0" borderId="0" xfId="39" applyFont="1" applyBorder="1" applyAlignment="1">
      <alignment/>
    </xf>
    <xf numFmtId="43" fontId="5" fillId="0" borderId="0" xfId="39" applyFont="1" applyAlignment="1">
      <alignment/>
    </xf>
    <xf numFmtId="43" fontId="8" fillId="0" borderId="22" xfId="39" applyFont="1" applyBorder="1" applyAlignment="1">
      <alignment/>
    </xf>
    <xf numFmtId="43" fontId="5" fillId="0" borderId="23" xfId="39" applyFont="1" applyBorder="1" applyAlignment="1">
      <alignment/>
    </xf>
    <xf numFmtId="43" fontId="8" fillId="0" borderId="23" xfId="39" applyFont="1" applyBorder="1" applyAlignment="1">
      <alignment/>
    </xf>
    <xf numFmtId="43" fontId="5" fillId="0" borderId="21" xfId="39" applyFont="1" applyBorder="1" applyAlignment="1">
      <alignment horizontal="center"/>
    </xf>
    <xf numFmtId="43" fontId="5" fillId="0" borderId="0" xfId="39" applyFont="1" applyBorder="1" applyAlignment="1">
      <alignment horizontal="center"/>
    </xf>
    <xf numFmtId="43" fontId="5" fillId="0" borderId="0" xfId="39" applyFont="1" applyBorder="1" applyAlignment="1">
      <alignment vertical="center"/>
    </xf>
    <xf numFmtId="43" fontId="8" fillId="0" borderId="22" xfId="39" applyFont="1" applyBorder="1" applyAlignment="1">
      <alignment vertical="center"/>
    </xf>
    <xf numFmtId="43" fontId="5" fillId="0" borderId="24" xfId="39" applyFont="1" applyBorder="1" applyAlignment="1">
      <alignment vertical="center"/>
    </xf>
    <xf numFmtId="43" fontId="5" fillId="0" borderId="22" xfId="39" applyFont="1" applyBorder="1" applyAlignment="1">
      <alignment vertical="center"/>
    </xf>
    <xf numFmtId="43" fontId="5" fillId="0" borderId="23" xfId="39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0" xfId="39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3" fontId="14" fillId="0" borderId="27" xfId="39" applyFont="1" applyBorder="1" applyAlignment="1">
      <alignment vertical="center"/>
    </xf>
    <xf numFmtId="43" fontId="14" fillId="0" borderId="17" xfId="39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4" fillId="0" borderId="0" xfId="39" applyFont="1" applyBorder="1" applyAlignment="1">
      <alignment vertical="center"/>
    </xf>
    <xf numFmtId="43" fontId="5" fillId="0" borderId="15" xfId="0" applyNumberFormat="1" applyFont="1" applyBorder="1" applyAlignment="1">
      <alignment/>
    </xf>
    <xf numFmtId="43" fontId="5" fillId="0" borderId="10" xfId="39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43" fontId="12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3" fontId="6" fillId="0" borderId="32" xfId="39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10" xfId="39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43" fontId="6" fillId="0" borderId="0" xfId="39" applyFont="1" applyAlignment="1">
      <alignment horizontal="center"/>
    </xf>
    <xf numFmtId="43" fontId="4" fillId="0" borderId="0" xfId="39" applyFont="1" applyAlignment="1">
      <alignment horizontal="center"/>
    </xf>
    <xf numFmtId="43" fontId="4" fillId="0" borderId="0" xfId="39" applyFont="1" applyFill="1" applyAlignment="1">
      <alignment horizontal="center"/>
    </xf>
    <xf numFmtId="43" fontId="4" fillId="0" borderId="0" xfId="39" applyFont="1" applyFill="1" applyAlignment="1">
      <alignment/>
    </xf>
    <xf numFmtId="43" fontId="6" fillId="0" borderId="0" xfId="39" applyFont="1" applyFill="1" applyAlignment="1">
      <alignment horizontal="center"/>
    </xf>
    <xf numFmtId="43" fontId="6" fillId="0" borderId="0" xfId="39" applyFont="1" applyFill="1" applyAlignment="1">
      <alignment/>
    </xf>
    <xf numFmtId="43" fontId="4" fillId="0" borderId="0" xfId="39" applyFont="1" applyFill="1" applyAlignment="1">
      <alignment/>
    </xf>
    <xf numFmtId="0" fontId="14" fillId="0" borderId="0" xfId="0" applyFont="1" applyAlignment="1">
      <alignment horizontal="center"/>
    </xf>
    <xf numFmtId="43" fontId="14" fillId="0" borderId="0" xfId="39" applyFont="1" applyAlignment="1">
      <alignment horizontal="center"/>
    </xf>
    <xf numFmtId="43" fontId="13" fillId="0" borderId="0" xfId="39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39" applyFont="1" applyFill="1" applyAlignment="1">
      <alignment horizontal="center"/>
    </xf>
    <xf numFmtId="43" fontId="13" fillId="0" borderId="0" xfId="39" applyFont="1" applyAlignment="1">
      <alignment/>
    </xf>
    <xf numFmtId="0" fontId="14" fillId="0" borderId="0" xfId="0" applyFont="1" applyAlignment="1">
      <alignment/>
    </xf>
    <xf numFmtId="43" fontId="14" fillId="0" borderId="0" xfId="39" applyFont="1" applyAlignment="1">
      <alignment/>
    </xf>
    <xf numFmtId="43" fontId="13" fillId="0" borderId="0" xfId="39" applyFont="1" applyFill="1" applyAlignment="1">
      <alignment/>
    </xf>
    <xf numFmtId="43" fontId="4" fillId="0" borderId="34" xfId="39" applyFont="1" applyBorder="1" applyAlignment="1">
      <alignment/>
    </xf>
    <xf numFmtId="43" fontId="4" fillId="0" borderId="0" xfId="39" applyFont="1" applyBorder="1" applyAlignment="1">
      <alignment/>
    </xf>
    <xf numFmtId="43" fontId="4" fillId="0" borderId="0" xfId="39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43" fontId="8" fillId="0" borderId="10" xfId="39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3" fontId="4" fillId="0" borderId="34" xfId="39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3" fontId="4" fillId="0" borderId="36" xfId="39" applyFont="1" applyFill="1" applyBorder="1" applyAlignment="1">
      <alignment/>
    </xf>
    <xf numFmtId="43" fontId="4" fillId="0" borderId="36" xfId="39" applyFont="1" applyBorder="1" applyAlignment="1">
      <alignment vertical="center"/>
    </xf>
    <xf numFmtId="43" fontId="4" fillId="0" borderId="36" xfId="39" applyFont="1" applyFill="1" applyBorder="1" applyAlignment="1">
      <alignment vertical="center"/>
    </xf>
    <xf numFmtId="43" fontId="4" fillId="0" borderId="36" xfId="39" applyFont="1" applyBorder="1" applyAlignment="1">
      <alignment/>
    </xf>
    <xf numFmtId="43" fontId="19" fillId="0" borderId="34" xfId="39" applyFont="1" applyBorder="1" applyAlignment="1">
      <alignment/>
    </xf>
    <xf numFmtId="0" fontId="4" fillId="0" borderId="36" xfId="0" applyFont="1" applyBorder="1" applyAlignment="1" quotePrefix="1">
      <alignment horizontal="center" vertical="center"/>
    </xf>
    <xf numFmtId="43" fontId="4" fillId="0" borderId="37" xfId="39" applyFont="1" applyBorder="1" applyAlignment="1">
      <alignment vertical="center"/>
    </xf>
    <xf numFmtId="0" fontId="4" fillId="0" borderId="37" xfId="0" applyFont="1" applyBorder="1" applyAlignment="1" quotePrefix="1">
      <alignment horizontal="center" vertical="center"/>
    </xf>
    <xf numFmtId="43" fontId="4" fillId="0" borderId="37" xfId="39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3" fontId="4" fillId="0" borderId="36" xfId="0" applyNumberFormat="1" applyFont="1" applyFill="1" applyBorder="1" applyAlignment="1">
      <alignment vertical="center"/>
    </xf>
    <xf numFmtId="43" fontId="4" fillId="0" borderId="38" xfId="39" applyFont="1" applyBorder="1" applyAlignment="1">
      <alignment vertical="center"/>
    </xf>
    <xf numFmtId="0" fontId="4" fillId="0" borderId="38" xfId="0" applyFont="1" applyBorder="1" applyAlignment="1" quotePrefix="1">
      <alignment horizontal="center" vertical="center"/>
    </xf>
    <xf numFmtId="43" fontId="4" fillId="0" borderId="38" xfId="39" applyFont="1" applyFill="1" applyBorder="1" applyAlignment="1">
      <alignment vertical="center"/>
    </xf>
    <xf numFmtId="43" fontId="4" fillId="0" borderId="33" xfId="39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3" fontId="4" fillId="0" borderId="13" xfId="39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0" xfId="39" applyFont="1" applyFill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43" fontId="4" fillId="0" borderId="0" xfId="39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3" fontId="4" fillId="0" borderId="0" xfId="41" applyFont="1" applyFill="1" applyAlignment="1">
      <alignment/>
    </xf>
    <xf numFmtId="43" fontId="6" fillId="0" borderId="25" xfId="41" applyFont="1" applyFill="1" applyBorder="1" applyAlignment="1">
      <alignment horizontal="center" vertical="center"/>
    </xf>
    <xf numFmtId="43" fontId="6" fillId="0" borderId="25" xfId="41" applyFont="1" applyFill="1" applyBorder="1" applyAlignment="1">
      <alignment horizontal="center" vertical="center" wrapText="1"/>
    </xf>
    <xf numFmtId="43" fontId="6" fillId="0" borderId="16" xfId="41" applyFont="1" applyFill="1" applyBorder="1" applyAlignment="1">
      <alignment/>
    </xf>
    <xf numFmtId="43" fontId="6" fillId="0" borderId="0" xfId="41" applyFont="1" applyFill="1" applyAlignment="1">
      <alignment/>
    </xf>
    <xf numFmtId="43" fontId="6" fillId="0" borderId="25" xfId="41" applyFont="1" applyFill="1" applyBorder="1" applyAlignment="1">
      <alignment/>
    </xf>
    <xf numFmtId="43" fontId="11" fillId="0" borderId="25" xfId="41" applyFont="1" applyFill="1" applyBorder="1" applyAlignment="1">
      <alignment/>
    </xf>
    <xf numFmtId="43" fontId="4" fillId="0" borderId="25" xfId="41" applyFont="1" applyFill="1" applyBorder="1" applyAlignment="1">
      <alignment/>
    </xf>
    <xf numFmtId="43" fontId="4" fillId="0" borderId="16" xfId="41" applyFont="1" applyFill="1" applyBorder="1" applyAlignment="1">
      <alignment/>
    </xf>
    <xf numFmtId="43" fontId="6" fillId="0" borderId="34" xfId="41" applyFont="1" applyFill="1" applyBorder="1" applyAlignment="1">
      <alignment/>
    </xf>
    <xf numFmtId="43" fontId="6" fillId="0" borderId="36" xfId="41" applyFont="1" applyFill="1" applyBorder="1" applyAlignment="1">
      <alignment horizontal="right"/>
    </xf>
    <xf numFmtId="43" fontId="4" fillId="0" borderId="36" xfId="41" applyFont="1" applyFill="1" applyBorder="1" applyAlignment="1">
      <alignment horizontal="center"/>
    </xf>
    <xf numFmtId="43" fontId="4" fillId="0" borderId="36" xfId="41" applyFont="1" applyFill="1" applyBorder="1" applyAlignment="1">
      <alignment/>
    </xf>
    <xf numFmtId="43" fontId="4" fillId="0" borderId="34" xfId="41" applyFont="1" applyFill="1" applyBorder="1" applyAlignment="1">
      <alignment/>
    </xf>
    <xf numFmtId="43" fontId="4" fillId="0" borderId="36" xfId="41" applyFont="1" applyFill="1" applyBorder="1" applyAlignment="1">
      <alignment horizontal="right"/>
    </xf>
    <xf numFmtId="43" fontId="4" fillId="0" borderId="34" xfId="41" applyFont="1" applyFill="1" applyBorder="1" applyAlignment="1">
      <alignment horizontal="center"/>
    </xf>
    <xf numFmtId="43" fontId="11" fillId="0" borderId="16" xfId="41" applyFont="1" applyFill="1" applyBorder="1" applyAlignment="1">
      <alignment/>
    </xf>
    <xf numFmtId="43" fontId="4" fillId="0" borderId="12" xfId="41" applyFont="1" applyFill="1" applyBorder="1" applyAlignment="1">
      <alignment/>
    </xf>
    <xf numFmtId="43" fontId="6" fillId="0" borderId="39" xfId="41" applyFont="1" applyFill="1" applyBorder="1" applyAlignment="1">
      <alignment/>
    </xf>
    <xf numFmtId="43" fontId="4" fillId="0" borderId="39" xfId="41" applyFont="1" applyFill="1" applyBorder="1" applyAlignment="1">
      <alignment/>
    </xf>
    <xf numFmtId="43" fontId="4" fillId="0" borderId="37" xfId="41" applyFont="1" applyFill="1" applyBorder="1" applyAlignment="1">
      <alignment/>
    </xf>
    <xf numFmtId="43" fontId="4" fillId="0" borderId="0" xfId="41" applyFont="1" applyFill="1" applyBorder="1" applyAlignment="1">
      <alignment/>
    </xf>
    <xf numFmtId="43" fontId="6" fillId="0" borderId="40" xfId="41" applyFont="1" applyFill="1" applyBorder="1" applyAlignment="1">
      <alignment/>
    </xf>
    <xf numFmtId="43" fontId="4" fillId="0" borderId="40" xfId="41" applyFont="1" applyFill="1" applyBorder="1" applyAlignment="1">
      <alignment/>
    </xf>
    <xf numFmtId="43" fontId="4" fillId="0" borderId="41" xfId="41" applyFont="1" applyFill="1" applyBorder="1" applyAlignment="1">
      <alignment/>
    </xf>
    <xf numFmtId="43" fontId="6" fillId="0" borderId="34" xfId="41" applyFont="1" applyFill="1" applyBorder="1" applyAlignment="1">
      <alignment horizontal="center"/>
    </xf>
    <xf numFmtId="43" fontId="6" fillId="0" borderId="17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4" fillId="0" borderId="42" xfId="41" applyFont="1" applyFill="1" applyBorder="1" applyAlignment="1">
      <alignment/>
    </xf>
    <xf numFmtId="43" fontId="6" fillId="0" borderId="17" xfId="41" applyFont="1" applyFill="1" applyBorder="1" applyAlignment="1">
      <alignment/>
    </xf>
    <xf numFmtId="43" fontId="22" fillId="0" borderId="0" xfId="41" applyFont="1" applyFill="1" applyAlignment="1">
      <alignment/>
    </xf>
    <xf numFmtId="43" fontId="6" fillId="0" borderId="43" xfId="41" applyFont="1" applyFill="1" applyBorder="1" applyAlignment="1">
      <alignment/>
    </xf>
    <xf numFmtId="43" fontId="6" fillId="0" borderId="13" xfId="41" applyFont="1" applyFill="1" applyBorder="1" applyAlignment="1">
      <alignment horizontal="center"/>
    </xf>
    <xf numFmtId="43" fontId="4" fillId="0" borderId="43" xfId="41" applyFont="1" applyFill="1" applyBorder="1" applyAlignment="1">
      <alignment/>
    </xf>
    <xf numFmtId="43" fontId="4" fillId="0" borderId="13" xfId="41" applyFont="1" applyFill="1" applyBorder="1" applyAlignment="1">
      <alignment/>
    </xf>
    <xf numFmtId="43" fontId="6" fillId="0" borderId="36" xfId="41" applyFont="1" applyFill="1" applyBorder="1" applyAlignment="1">
      <alignment horizontal="center"/>
    </xf>
    <xf numFmtId="43" fontId="6" fillId="0" borderId="10" xfId="39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3" fontId="4" fillId="0" borderId="34" xfId="39" applyFont="1" applyFill="1" applyBorder="1" applyAlignment="1">
      <alignment/>
    </xf>
    <xf numFmtId="43" fontId="4" fillId="0" borderId="44" xfId="39" applyFont="1" applyFill="1" applyBorder="1" applyAlignment="1">
      <alignment shrinkToFit="1"/>
    </xf>
    <xf numFmtId="43" fontId="4" fillId="0" borderId="34" xfId="39" applyFont="1" applyFill="1" applyBorder="1" applyAlignment="1">
      <alignment/>
    </xf>
    <xf numFmtId="43" fontId="4" fillId="0" borderId="44" xfId="39" applyFont="1" applyFill="1" applyBorder="1" applyAlignment="1">
      <alignment/>
    </xf>
    <xf numFmtId="43" fontId="4" fillId="0" borderId="36" xfId="39" applyFont="1" applyFill="1" applyBorder="1" applyAlignment="1">
      <alignment horizontal="center"/>
    </xf>
    <xf numFmtId="43" fontId="89" fillId="0" borderId="36" xfId="39" applyFont="1" applyFill="1" applyBorder="1" applyAlignment="1">
      <alignment/>
    </xf>
    <xf numFmtId="0" fontId="4" fillId="0" borderId="34" xfId="0" applyFont="1" applyFill="1" applyBorder="1" applyAlignment="1">
      <alignment/>
    </xf>
    <xf numFmtId="43" fontId="4" fillId="0" borderId="43" xfId="39" applyFont="1" applyFill="1" applyBorder="1" applyAlignment="1">
      <alignment/>
    </xf>
    <xf numFmtId="43" fontId="4" fillId="0" borderId="28" xfId="39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3" fontId="4" fillId="0" borderId="22" xfId="39" applyFont="1" applyFill="1" applyBorder="1" applyAlignment="1">
      <alignment/>
    </xf>
    <xf numFmtId="43" fontId="4" fillId="0" borderId="38" xfId="39" applyFont="1" applyFill="1" applyBorder="1" applyAlignment="1">
      <alignment/>
    </xf>
    <xf numFmtId="43" fontId="24" fillId="0" borderId="45" xfId="0" applyNumberFormat="1" applyFont="1" applyFill="1" applyBorder="1" applyAlignment="1">
      <alignment/>
    </xf>
    <xf numFmtId="43" fontId="4" fillId="0" borderId="42" xfId="39" applyFont="1" applyFill="1" applyBorder="1" applyAlignment="1">
      <alignment/>
    </xf>
    <xf numFmtId="43" fontId="4" fillId="0" borderId="17" xfId="39" applyFont="1" applyFill="1" applyBorder="1" applyAlignment="1">
      <alignment/>
    </xf>
    <xf numFmtId="43" fontId="6" fillId="0" borderId="0" xfId="42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43" fontId="4" fillId="0" borderId="0" xfId="42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0" fillId="33" borderId="46" xfId="35" applyNumberFormat="1" applyFont="1" applyFill="1" applyBorder="1" applyAlignment="1">
      <alignment horizontal="center" vertical="center" wrapText="1" readingOrder="1"/>
      <protection/>
    </xf>
    <xf numFmtId="0" fontId="90" fillId="33" borderId="10" xfId="35" applyNumberFormat="1" applyFont="1" applyFill="1" applyBorder="1" applyAlignment="1">
      <alignment horizontal="center" vertical="center" wrapText="1" readingOrder="1"/>
      <protection/>
    </xf>
    <xf numFmtId="0" fontId="90" fillId="33" borderId="35" xfId="35" applyNumberFormat="1" applyFont="1" applyFill="1" applyBorder="1" applyAlignment="1">
      <alignment horizontal="center" vertical="center" wrapText="1" readingOrder="1"/>
      <protection/>
    </xf>
    <xf numFmtId="0" fontId="91" fillId="0" borderId="47" xfId="35" applyNumberFormat="1" applyFont="1" applyFill="1" applyBorder="1" applyAlignment="1">
      <alignment vertical="center" readingOrder="1"/>
      <protection/>
    </xf>
    <xf numFmtId="43" fontId="4" fillId="0" borderId="48" xfId="39" applyFont="1" applyBorder="1" applyAlignment="1">
      <alignment/>
    </xf>
    <xf numFmtId="0" fontId="91" fillId="0" borderId="49" xfId="35" applyNumberFormat="1" applyFont="1" applyFill="1" applyBorder="1" applyAlignment="1">
      <alignment horizontal="center" vertical="center" wrapText="1" readingOrder="1"/>
      <protection/>
    </xf>
    <xf numFmtId="43" fontId="91" fillId="0" borderId="50" xfId="42" applyFont="1" applyFill="1" applyBorder="1" applyAlignment="1">
      <alignment horizontal="right" vertical="center" wrapText="1" readingOrder="1"/>
    </xf>
    <xf numFmtId="43" fontId="91" fillId="0" borderId="48" xfId="42" applyFont="1" applyFill="1" applyBorder="1" applyAlignment="1">
      <alignment horizontal="right" vertical="center" wrapText="1" readingOrder="1"/>
    </xf>
    <xf numFmtId="0" fontId="91" fillId="0" borderId="51" xfId="35" applyNumberFormat="1" applyFont="1" applyFill="1" applyBorder="1" applyAlignment="1">
      <alignment vertical="center" readingOrder="1"/>
      <protection/>
    </xf>
    <xf numFmtId="43" fontId="4" fillId="0" borderId="52" xfId="39" applyFont="1" applyBorder="1" applyAlignment="1">
      <alignment/>
    </xf>
    <xf numFmtId="0" fontId="91" fillId="0" borderId="53" xfId="35" applyNumberFormat="1" applyFont="1" applyFill="1" applyBorder="1" applyAlignment="1">
      <alignment horizontal="center" vertical="center" wrapText="1" readingOrder="1"/>
      <protection/>
    </xf>
    <xf numFmtId="43" fontId="91" fillId="0" borderId="54" xfId="42" applyFont="1" applyFill="1" applyBorder="1" applyAlignment="1">
      <alignment horizontal="right" vertical="center" wrapText="1" readingOrder="1"/>
    </xf>
    <xf numFmtId="43" fontId="91" fillId="0" borderId="52" xfId="42" applyFont="1" applyFill="1" applyBorder="1" applyAlignment="1">
      <alignment horizontal="right" vertical="center" wrapText="1" readingOrder="1"/>
    </xf>
    <xf numFmtId="0" fontId="4" fillId="0" borderId="51" xfId="35" applyNumberFormat="1" applyFont="1" applyFill="1" applyBorder="1" applyAlignment="1">
      <alignment vertical="center" readingOrder="1"/>
      <protection/>
    </xf>
    <xf numFmtId="0" fontId="4" fillId="0" borderId="53" xfId="35" applyNumberFormat="1" applyFont="1" applyFill="1" applyBorder="1" applyAlignment="1">
      <alignment horizontal="center" vertical="center" wrapText="1" readingOrder="1"/>
      <protection/>
    </xf>
    <xf numFmtId="43" fontId="4" fillId="0" borderId="54" xfId="42" applyFont="1" applyFill="1" applyBorder="1" applyAlignment="1">
      <alignment horizontal="right" vertical="center" wrapText="1" readingOrder="1"/>
    </xf>
    <xf numFmtId="43" fontId="4" fillId="0" borderId="52" xfId="42" applyFont="1" applyFill="1" applyBorder="1" applyAlignment="1">
      <alignment horizontal="right" vertical="center" wrapText="1" readingOrder="1"/>
    </xf>
    <xf numFmtId="0" fontId="91" fillId="0" borderId="55" xfId="35" applyNumberFormat="1" applyFont="1" applyFill="1" applyBorder="1" applyAlignment="1">
      <alignment vertical="center" readingOrder="1"/>
      <protection/>
    </xf>
    <xf numFmtId="43" fontId="4" fillId="0" borderId="56" xfId="39" applyFont="1" applyBorder="1" applyAlignment="1">
      <alignment/>
    </xf>
    <xf numFmtId="0" fontId="91" fillId="0" borderId="57" xfId="35" applyNumberFormat="1" applyFont="1" applyFill="1" applyBorder="1" applyAlignment="1">
      <alignment horizontal="center" vertical="center" wrapText="1" readingOrder="1"/>
      <protection/>
    </xf>
    <xf numFmtId="43" fontId="91" fillId="0" borderId="58" xfId="42" applyFont="1" applyFill="1" applyBorder="1" applyAlignment="1">
      <alignment horizontal="right" vertical="center" wrapText="1" readingOrder="1"/>
    </xf>
    <xf numFmtId="43" fontId="91" fillId="0" borderId="56" xfId="42" applyFont="1" applyFill="1" applyBorder="1" applyAlignment="1">
      <alignment horizontal="right" vertical="center" wrapText="1" readingOrder="1"/>
    </xf>
    <xf numFmtId="43" fontId="4" fillId="0" borderId="33" xfId="39" applyFont="1" applyBorder="1" applyAlignment="1">
      <alignment/>
    </xf>
    <xf numFmtId="43" fontId="4" fillId="0" borderId="23" xfId="39" applyFont="1" applyBorder="1" applyAlignment="1">
      <alignment/>
    </xf>
    <xf numFmtId="0" fontId="6" fillId="0" borderId="35" xfId="0" applyFont="1" applyBorder="1" applyAlignment="1">
      <alignment/>
    </xf>
    <xf numFmtId="43" fontId="4" fillId="0" borderId="10" xfId="39" applyFont="1" applyFill="1" applyBorder="1" applyAlignment="1">
      <alignment/>
    </xf>
    <xf numFmtId="43" fontId="4" fillId="0" borderId="35" xfId="39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6" fontId="6" fillId="0" borderId="0" xfId="39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43" fontId="6" fillId="0" borderId="0" xfId="39" applyFont="1" applyFill="1" applyBorder="1" applyAlignment="1">
      <alignment horizontal="center"/>
    </xf>
    <xf numFmtId="43" fontId="4" fillId="0" borderId="0" xfId="39" applyFont="1" applyFill="1" applyBorder="1" applyAlignment="1">
      <alignment horizontal="center"/>
    </xf>
    <xf numFmtId="43" fontId="6" fillId="0" borderId="24" xfId="39" applyFont="1" applyBorder="1" applyAlignment="1">
      <alignment horizontal="center" vertical="center"/>
    </xf>
    <xf numFmtId="43" fontId="6" fillId="0" borderId="25" xfId="39" applyFont="1" applyBorder="1" applyAlignment="1">
      <alignment horizontal="center"/>
    </xf>
    <xf numFmtId="43" fontId="6" fillId="0" borderId="11" xfId="39" applyFont="1" applyBorder="1" applyAlignment="1">
      <alignment horizontal="center"/>
    </xf>
    <xf numFmtId="43" fontId="6" fillId="0" borderId="22" xfId="39" applyFont="1" applyBorder="1" applyAlignment="1">
      <alignment horizontal="center" vertical="center"/>
    </xf>
    <xf numFmtId="43" fontId="6" fillId="0" borderId="43" xfId="39" applyFont="1" applyBorder="1" applyAlignment="1">
      <alignment horizontal="center"/>
    </xf>
    <xf numFmtId="43" fontId="6" fillId="0" borderId="13" xfId="39" applyFont="1" applyBorder="1" applyAlignment="1">
      <alignment horizontal="center"/>
    </xf>
    <xf numFmtId="43" fontId="7" fillId="0" borderId="25" xfId="39" applyFont="1" applyBorder="1" applyAlignment="1">
      <alignment/>
    </xf>
    <xf numFmtId="43" fontId="7" fillId="0" borderId="26" xfId="39" applyFont="1" applyBorder="1" applyAlignment="1">
      <alignment/>
    </xf>
    <xf numFmtId="43" fontId="4" fillId="0" borderId="16" xfId="39" applyFont="1" applyBorder="1" applyAlignment="1" quotePrefix="1">
      <alignment/>
    </xf>
    <xf numFmtId="43" fontId="4" fillId="0" borderId="14" xfId="39" applyFont="1" applyBorder="1" applyAlignment="1" quotePrefix="1">
      <alignment/>
    </xf>
    <xf numFmtId="43" fontId="6" fillId="0" borderId="12" xfId="39" applyFont="1" applyBorder="1" applyAlignment="1">
      <alignment horizontal="center"/>
    </xf>
    <xf numFmtId="211" fontId="4" fillId="0" borderId="12" xfId="39" applyNumberFormat="1" applyFont="1" applyBorder="1" applyAlignment="1">
      <alignment/>
    </xf>
    <xf numFmtId="212" fontId="4" fillId="0" borderId="13" xfId="39" applyNumberFormat="1" applyFont="1" applyBorder="1" applyAlignment="1">
      <alignment/>
    </xf>
    <xf numFmtId="43" fontId="6" fillId="34" borderId="16" xfId="39" applyFont="1" applyFill="1" applyBorder="1" applyAlignment="1">
      <alignment/>
    </xf>
    <xf numFmtId="43" fontId="6" fillId="34" borderId="14" xfId="39" applyFont="1" applyFill="1" applyBorder="1" applyAlignment="1">
      <alignment/>
    </xf>
    <xf numFmtId="43" fontId="6" fillId="34" borderId="10" xfId="39" applyFont="1" applyFill="1" applyBorder="1" applyAlignment="1">
      <alignment/>
    </xf>
    <xf numFmtId="43" fontId="6" fillId="34" borderId="13" xfId="39" applyFont="1" applyFill="1" applyBorder="1" applyAlignment="1">
      <alignment/>
    </xf>
    <xf numFmtId="43" fontId="6" fillId="34" borderId="13" xfId="39" applyFont="1" applyFill="1" applyBorder="1" applyAlignment="1">
      <alignment horizontal="center"/>
    </xf>
    <xf numFmtId="213" fontId="6" fillId="34" borderId="13" xfId="39" applyNumberFormat="1" applyFont="1" applyFill="1" applyBorder="1" applyAlignment="1">
      <alignment/>
    </xf>
    <xf numFmtId="43" fontId="4" fillId="0" borderId="16" xfId="39" applyFont="1" applyBorder="1" applyAlignment="1">
      <alignment/>
    </xf>
    <xf numFmtId="43" fontId="6" fillId="0" borderId="10" xfId="39" applyFont="1" applyBorder="1" applyAlignment="1">
      <alignment horizontal="center"/>
    </xf>
    <xf numFmtId="43" fontId="6" fillId="34" borderId="16" xfId="39" applyFont="1" applyFill="1" applyBorder="1" applyAlignment="1">
      <alignment horizontal="center"/>
    </xf>
    <xf numFmtId="43" fontId="6" fillId="34" borderId="14" xfId="39" applyFont="1" applyFill="1" applyBorder="1" applyAlignment="1">
      <alignment horizontal="center"/>
    </xf>
    <xf numFmtId="43" fontId="4" fillId="34" borderId="27" xfId="39" applyFont="1" applyFill="1" applyBorder="1" applyAlignment="1">
      <alignment/>
    </xf>
    <xf numFmtId="43" fontId="6" fillId="34" borderId="27" xfId="39" applyFont="1" applyFill="1" applyBorder="1" applyAlignment="1">
      <alignment/>
    </xf>
    <xf numFmtId="43" fontId="6" fillId="34" borderId="27" xfId="39" applyFont="1" applyFill="1" applyBorder="1" applyAlignment="1">
      <alignment horizontal="center"/>
    </xf>
    <xf numFmtId="43" fontId="7" fillId="0" borderId="16" xfId="39" applyFont="1" applyBorder="1" applyAlignment="1">
      <alignment/>
    </xf>
    <xf numFmtId="43" fontId="7" fillId="0" borderId="14" xfId="39" applyFont="1" applyBorder="1" applyAlignment="1">
      <alignment/>
    </xf>
    <xf numFmtId="43" fontId="4" fillId="0" borderId="13" xfId="39" applyFont="1" applyBorder="1" applyAlignment="1">
      <alignment horizontal="right"/>
    </xf>
    <xf numFmtId="43" fontId="6" fillId="34" borderId="43" xfId="39" applyFont="1" applyFill="1" applyBorder="1" applyAlignment="1">
      <alignment/>
    </xf>
    <xf numFmtId="43" fontId="6" fillId="34" borderId="28" xfId="39" applyFont="1" applyFill="1" applyBorder="1" applyAlignment="1">
      <alignment/>
    </xf>
    <xf numFmtId="43" fontId="4" fillId="0" borderId="35" xfId="39" applyFont="1" applyBorder="1" applyAlignment="1">
      <alignment/>
    </xf>
    <xf numFmtId="43" fontId="6" fillId="34" borderId="43" xfId="39" applyFont="1" applyFill="1" applyBorder="1" applyAlignment="1">
      <alignment horizontal="center"/>
    </xf>
    <xf numFmtId="43" fontId="6" fillId="34" borderId="22" xfId="39" applyFont="1" applyFill="1" applyBorder="1" applyAlignment="1">
      <alignment horizontal="center"/>
    </xf>
    <xf numFmtId="43" fontId="4" fillId="34" borderId="10" xfId="39" applyFont="1" applyFill="1" applyBorder="1" applyAlignment="1">
      <alignment/>
    </xf>
    <xf numFmtId="43" fontId="6" fillId="0" borderId="0" xfId="39" applyFont="1" applyBorder="1" applyAlignment="1">
      <alignment horizontal="right"/>
    </xf>
    <xf numFmtId="43" fontId="6" fillId="0" borderId="59" xfId="39" applyFont="1" applyBorder="1" applyAlignment="1">
      <alignment/>
    </xf>
    <xf numFmtId="43" fontId="4" fillId="0" borderId="0" xfId="39" applyFont="1" applyFill="1" applyBorder="1" applyAlignment="1">
      <alignment/>
    </xf>
    <xf numFmtId="43" fontId="4" fillId="0" borderId="0" xfId="39" applyFont="1" applyAlignment="1">
      <alignment/>
    </xf>
    <xf numFmtId="43" fontId="7" fillId="0" borderId="12" xfId="39" applyFont="1" applyBorder="1" applyAlignment="1">
      <alignment/>
    </xf>
    <xf numFmtId="0" fontId="4" fillId="0" borderId="54" xfId="35" applyNumberFormat="1" applyFont="1" applyFill="1" applyBorder="1" applyAlignment="1">
      <alignment horizontal="center" vertical="center" wrapText="1" readingOrder="1"/>
      <protection/>
    </xf>
    <xf numFmtId="0" fontId="6" fillId="0" borderId="27" xfId="0" applyFont="1" applyBorder="1" applyAlignment="1">
      <alignment/>
    </xf>
    <xf numFmtId="43" fontId="6" fillId="0" borderId="27" xfId="0" applyNumberFormat="1" applyFont="1" applyBorder="1" applyAlignment="1">
      <alignment/>
    </xf>
    <xf numFmtId="0" fontId="30" fillId="0" borderId="0" xfId="54" applyFont="1" applyFill="1" applyBorder="1" applyAlignment="1">
      <alignment vertical="center"/>
      <protection/>
    </xf>
    <xf numFmtId="0" fontId="30" fillId="0" borderId="0" xfId="54" applyFont="1" applyFill="1" applyAlignment="1">
      <alignment vertical="center"/>
      <protection/>
    </xf>
    <xf numFmtId="0" fontId="32" fillId="0" borderId="33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23" xfId="54" applyFont="1" applyFill="1" applyBorder="1" applyAlignment="1">
      <alignment horizontal="center" vertical="center"/>
      <protection/>
    </xf>
    <xf numFmtId="0" fontId="33" fillId="0" borderId="40" xfId="54" applyFont="1" applyFill="1" applyBorder="1" applyAlignment="1">
      <alignment vertical="center"/>
      <protection/>
    </xf>
    <xf numFmtId="0" fontId="33" fillId="0" borderId="41" xfId="54" applyFont="1" applyFill="1" applyBorder="1" applyAlignment="1">
      <alignment vertical="center"/>
      <protection/>
    </xf>
    <xf numFmtId="0" fontId="33" fillId="0" borderId="60" xfId="54" applyFont="1" applyFill="1" applyBorder="1" applyAlignment="1">
      <alignment vertical="center"/>
      <protection/>
    </xf>
    <xf numFmtId="0" fontId="32" fillId="0" borderId="41" xfId="54" applyFont="1" applyFill="1" applyBorder="1" applyAlignment="1">
      <alignment horizontal="center" vertical="center"/>
      <protection/>
    </xf>
    <xf numFmtId="0" fontId="32" fillId="0" borderId="60" xfId="54" applyFont="1" applyFill="1" applyBorder="1" applyAlignment="1">
      <alignment horizontal="center" vertical="center"/>
      <protection/>
    </xf>
    <xf numFmtId="0" fontId="33" fillId="0" borderId="34" xfId="54" applyFont="1" applyFill="1" applyBorder="1" applyAlignment="1">
      <alignment vertical="center" wrapText="1"/>
      <protection/>
    </xf>
    <xf numFmtId="0" fontId="33" fillId="0" borderId="36" xfId="54" applyFont="1" applyFill="1" applyBorder="1" applyAlignment="1">
      <alignment vertical="center" wrapText="1"/>
      <protection/>
    </xf>
    <xf numFmtId="0" fontId="33" fillId="0" borderId="61" xfId="54" applyFont="1" applyFill="1" applyBorder="1" applyAlignment="1">
      <alignment vertical="center" wrapText="1"/>
      <protection/>
    </xf>
    <xf numFmtId="43" fontId="32" fillId="0" borderId="36" xfId="43" applyFont="1" applyFill="1" applyBorder="1" applyAlignment="1">
      <alignment vertical="center"/>
    </xf>
    <xf numFmtId="0" fontId="32" fillId="0" borderId="36" xfId="54" applyFont="1" applyFill="1" applyBorder="1" applyAlignment="1">
      <alignment horizontal="center" vertical="center"/>
      <protection/>
    </xf>
    <xf numFmtId="0" fontId="32" fillId="0" borderId="61" xfId="54" applyFont="1" applyFill="1" applyBorder="1" applyAlignment="1">
      <alignment horizontal="center" vertical="center"/>
      <protection/>
    </xf>
    <xf numFmtId="0" fontId="30" fillId="0" borderId="34" xfId="54" applyFont="1" applyFill="1" applyBorder="1" applyAlignment="1">
      <alignment vertical="center" wrapText="1"/>
      <protection/>
    </xf>
    <xf numFmtId="0" fontId="30" fillId="0" borderId="36" xfId="54" applyFont="1" applyFill="1" applyBorder="1" applyAlignment="1">
      <alignment vertical="center" wrapText="1"/>
      <protection/>
    </xf>
    <xf numFmtId="0" fontId="30" fillId="0" borderId="61" xfId="54" applyFont="1" applyFill="1" applyBorder="1" applyAlignment="1">
      <alignment vertical="center" wrapText="1"/>
      <protection/>
    </xf>
    <xf numFmtId="43" fontId="30" fillId="0" borderId="36" xfId="43" applyFont="1" applyFill="1" applyBorder="1" applyAlignment="1">
      <alignment vertical="center"/>
    </xf>
    <xf numFmtId="43" fontId="30" fillId="0" borderId="61" xfId="43" applyFont="1" applyFill="1" applyBorder="1" applyAlignment="1">
      <alignment vertical="center"/>
    </xf>
    <xf numFmtId="0" fontId="30" fillId="0" borderId="34" xfId="35" applyNumberFormat="1" applyFont="1" applyFill="1" applyBorder="1" applyAlignment="1">
      <alignment vertical="center" wrapText="1" readingOrder="1"/>
      <protection/>
    </xf>
    <xf numFmtId="0" fontId="30" fillId="0" borderId="36" xfId="35" applyNumberFormat="1" applyFont="1" applyFill="1" applyBorder="1" applyAlignment="1">
      <alignment vertical="center" wrapText="1" readingOrder="1"/>
      <protection/>
    </xf>
    <xf numFmtId="0" fontId="30" fillId="0" borderId="61" xfId="35" applyNumberFormat="1" applyFont="1" applyFill="1" applyBorder="1" applyAlignment="1">
      <alignment vertical="center" wrapText="1" readingOrder="1"/>
      <protection/>
    </xf>
    <xf numFmtId="214" fontId="30" fillId="0" borderId="36" xfId="35" applyNumberFormat="1" applyFont="1" applyFill="1" applyBorder="1" applyAlignment="1">
      <alignment horizontal="right" vertical="center" readingOrder="1"/>
      <protection/>
    </xf>
    <xf numFmtId="0" fontId="33" fillId="0" borderId="34" xfId="54" applyFont="1" applyFill="1" applyBorder="1" applyAlignment="1">
      <alignment vertical="center"/>
      <protection/>
    </xf>
    <xf numFmtId="0" fontId="33" fillId="0" borderId="36" xfId="54" applyFont="1" applyFill="1" applyBorder="1" applyAlignment="1">
      <alignment vertical="center"/>
      <protection/>
    </xf>
    <xf numFmtId="0" fontId="30" fillId="0" borderId="36" xfId="54" applyFont="1" applyFill="1" applyBorder="1" applyAlignment="1">
      <alignment vertical="center"/>
      <protection/>
    </xf>
    <xf numFmtId="0" fontId="30" fillId="0" borderId="39" xfId="54" applyFont="1" applyFill="1" applyBorder="1" applyAlignment="1">
      <alignment vertical="center" wrapText="1"/>
      <protection/>
    </xf>
    <xf numFmtId="0" fontId="30" fillId="0" borderId="37" xfId="54" applyFont="1" applyFill="1" applyBorder="1" applyAlignment="1">
      <alignment vertical="center" wrapText="1"/>
      <protection/>
    </xf>
    <xf numFmtId="0" fontId="30" fillId="0" borderId="62" xfId="54" applyFont="1" applyFill="1" applyBorder="1" applyAlignment="1">
      <alignment vertical="center" wrapText="1"/>
      <protection/>
    </xf>
    <xf numFmtId="43" fontId="30" fillId="0" borderId="37" xfId="43" applyFont="1" applyFill="1" applyBorder="1" applyAlignment="1">
      <alignment vertical="center"/>
    </xf>
    <xf numFmtId="43" fontId="30" fillId="0" borderId="62" xfId="43" applyFont="1" applyFill="1" applyBorder="1" applyAlignment="1">
      <alignment vertical="center"/>
    </xf>
    <xf numFmtId="0" fontId="32" fillId="0" borderId="0" xfId="54" applyFont="1" applyFill="1" applyBorder="1" applyAlignment="1">
      <alignment vertical="center"/>
      <protection/>
    </xf>
    <xf numFmtId="43" fontId="32" fillId="0" borderId="10" xfId="54" applyNumberFormat="1" applyFont="1" applyFill="1" applyBorder="1" applyAlignment="1">
      <alignment vertical="center"/>
      <protection/>
    </xf>
    <xf numFmtId="43" fontId="32" fillId="0" borderId="23" xfId="54" applyNumberFormat="1" applyFont="1" applyFill="1" applyBorder="1" applyAlignment="1">
      <alignment vertical="center"/>
      <protection/>
    </xf>
    <xf numFmtId="43" fontId="32" fillId="0" borderId="10" xfId="43" applyFont="1" applyFill="1" applyBorder="1" applyAlignment="1">
      <alignment vertical="center"/>
    </xf>
    <xf numFmtId="0" fontId="32" fillId="0" borderId="0" xfId="54" applyFont="1" applyFill="1" applyAlignment="1">
      <alignment vertical="center"/>
      <protection/>
    </xf>
    <xf numFmtId="0" fontId="34" fillId="0" borderId="0" xfId="54" applyFont="1" applyFill="1" applyAlignment="1">
      <alignment vertical="center"/>
      <protection/>
    </xf>
    <xf numFmtId="43" fontId="32" fillId="0" borderId="0" xfId="43" applyFont="1" applyFill="1" applyAlignment="1">
      <alignment vertical="center"/>
    </xf>
    <xf numFmtId="0" fontId="30" fillId="0" borderId="0" xfId="54" applyFont="1" applyFill="1" applyBorder="1" applyAlignment="1">
      <alignment horizontal="left" vertical="center"/>
      <protection/>
    </xf>
    <xf numFmtId="0" fontId="30" fillId="0" borderId="63" xfId="35" applyNumberFormat="1" applyFont="1" applyFill="1" applyBorder="1" applyAlignment="1">
      <alignment vertical="center" wrapText="1" readingOrder="1"/>
      <protection/>
    </xf>
    <xf numFmtId="0" fontId="30" fillId="0" borderId="64" xfId="35" applyNumberFormat="1" applyFont="1" applyFill="1" applyBorder="1" applyAlignment="1">
      <alignment vertical="center" wrapText="1" readingOrder="1"/>
      <protection/>
    </xf>
    <xf numFmtId="0" fontId="30" fillId="0" borderId="65" xfId="35" applyNumberFormat="1" applyFont="1" applyFill="1" applyBorder="1" applyAlignment="1">
      <alignment vertical="center" wrapText="1" readingOrder="1"/>
      <protection/>
    </xf>
    <xf numFmtId="214" fontId="30" fillId="0" borderId="64" xfId="35" applyNumberFormat="1" applyFont="1" applyFill="1" applyBorder="1" applyAlignment="1">
      <alignment horizontal="right" vertical="center" readingOrder="1"/>
      <protection/>
    </xf>
    <xf numFmtId="43" fontId="30" fillId="0" borderId="64" xfId="43" applyFont="1" applyFill="1" applyBorder="1" applyAlignment="1">
      <alignment vertical="center"/>
    </xf>
    <xf numFmtId="0" fontId="30" fillId="0" borderId="66" xfId="35" applyNumberFormat="1" applyFont="1" applyFill="1" applyBorder="1" applyAlignment="1">
      <alignment vertical="center" wrapText="1" readingOrder="1"/>
      <protection/>
    </xf>
    <xf numFmtId="0" fontId="30" fillId="0" borderId="38" xfId="35" applyNumberFormat="1" applyFont="1" applyFill="1" applyBorder="1" applyAlignment="1">
      <alignment vertical="center" wrapText="1" readingOrder="1"/>
      <protection/>
    </xf>
    <xf numFmtId="0" fontId="30" fillId="0" borderId="67" xfId="35" applyNumberFormat="1" applyFont="1" applyFill="1" applyBorder="1" applyAlignment="1">
      <alignment vertical="center" wrapText="1" readingOrder="1"/>
      <protection/>
    </xf>
    <xf numFmtId="214" fontId="30" fillId="0" borderId="38" xfId="35" applyNumberFormat="1" applyFont="1" applyFill="1" applyBorder="1" applyAlignment="1">
      <alignment horizontal="right" vertical="center" readingOrder="1"/>
      <protection/>
    </xf>
    <xf numFmtId="43" fontId="30" fillId="0" borderId="38" xfId="43" applyFont="1" applyFill="1" applyBorder="1" applyAlignment="1">
      <alignment vertical="center"/>
    </xf>
    <xf numFmtId="43" fontId="32" fillId="0" borderId="10" xfId="51" applyNumberFormat="1" applyFont="1" applyFill="1" applyBorder="1" applyAlignment="1">
      <alignment vertical="center"/>
      <protection/>
    </xf>
    <xf numFmtId="43" fontId="30" fillId="0" borderId="22" xfId="51" applyNumberFormat="1" applyFont="1" applyFill="1" applyBorder="1" applyAlignment="1">
      <alignment vertical="center"/>
      <protection/>
    </xf>
    <xf numFmtId="43" fontId="30" fillId="0" borderId="43" xfId="51" applyNumberFormat="1" applyFont="1" applyFill="1" applyBorder="1" applyAlignment="1">
      <alignment vertical="center"/>
      <protection/>
    </xf>
    <xf numFmtId="43" fontId="32" fillId="0" borderId="28" xfId="43" applyFont="1" applyFill="1" applyBorder="1" applyAlignment="1">
      <alignment vertical="center"/>
    </xf>
    <xf numFmtId="206" fontId="8" fillId="0" borderId="0" xfId="39" applyNumberFormat="1" applyFont="1" applyAlignment="1">
      <alignment/>
    </xf>
    <xf numFmtId="206" fontId="8" fillId="0" borderId="0" xfId="39" applyNumberFormat="1" applyFont="1" applyBorder="1" applyAlignment="1">
      <alignment horizontal="left"/>
    </xf>
    <xf numFmtId="206" fontId="8" fillId="0" borderId="0" xfId="39" applyNumberFormat="1" applyFont="1" applyBorder="1" applyAlignment="1">
      <alignment/>
    </xf>
    <xf numFmtId="206" fontId="5" fillId="0" borderId="0" xfId="39" applyNumberFormat="1" applyFont="1" applyAlignment="1">
      <alignment/>
    </xf>
    <xf numFmtId="206" fontId="8" fillId="0" borderId="0" xfId="39" applyNumberFormat="1" applyFont="1" applyBorder="1" applyAlignment="1">
      <alignment/>
    </xf>
    <xf numFmtId="206" fontId="5" fillId="0" borderId="23" xfId="39" applyNumberFormat="1" applyFont="1" applyBorder="1" applyAlignment="1">
      <alignment/>
    </xf>
    <xf numFmtId="206" fontId="5" fillId="0" borderId="0" xfId="39" applyNumberFormat="1" applyFont="1" applyAlignment="1">
      <alignment horizontal="center"/>
    </xf>
    <xf numFmtId="43" fontId="4" fillId="0" borderId="11" xfId="39" applyFont="1" applyBorder="1" applyAlignment="1">
      <alignment horizontal="center"/>
    </xf>
    <xf numFmtId="43" fontId="4" fillId="0" borderId="13" xfId="39" applyFont="1" applyBorder="1" applyAlignment="1">
      <alignment horizontal="center"/>
    </xf>
    <xf numFmtId="43" fontId="6" fillId="0" borderId="10" xfId="39" applyFont="1" applyBorder="1" applyAlignment="1">
      <alignment vertical="center"/>
    </xf>
    <xf numFmtId="0" fontId="30" fillId="0" borderId="37" xfId="35" applyNumberFormat="1" applyFont="1" applyFill="1" applyBorder="1" applyAlignment="1">
      <alignment vertical="center" wrapText="1" readingOrder="1"/>
      <protection/>
    </xf>
    <xf numFmtId="0" fontId="30" fillId="0" borderId="39" xfId="35" applyNumberFormat="1" applyFont="1" applyFill="1" applyBorder="1" applyAlignment="1">
      <alignment vertical="center" wrapText="1" readingOrder="1"/>
      <protection/>
    </xf>
    <xf numFmtId="0" fontId="30" fillId="0" borderId="62" xfId="35" applyNumberFormat="1" applyFont="1" applyFill="1" applyBorder="1" applyAlignment="1">
      <alignment vertical="center" wrapText="1" readingOrder="1"/>
      <protection/>
    </xf>
    <xf numFmtId="0" fontId="4" fillId="0" borderId="0" xfId="35" applyNumberFormat="1" applyFont="1" applyFill="1" applyBorder="1" applyAlignment="1">
      <alignment vertical="center" readingOrder="1"/>
      <protection/>
    </xf>
    <xf numFmtId="0" fontId="4" fillId="0" borderId="0" xfId="35" applyNumberFormat="1" applyFont="1" applyFill="1" applyBorder="1" applyAlignment="1">
      <alignment horizontal="center" vertical="center" wrapText="1" readingOrder="1"/>
      <protection/>
    </xf>
    <xf numFmtId="43" fontId="4" fillId="0" borderId="0" xfId="42" applyFont="1" applyFill="1" applyBorder="1" applyAlignment="1">
      <alignment horizontal="right" vertical="center" wrapText="1" readingOrder="1"/>
    </xf>
    <xf numFmtId="43" fontId="6" fillId="0" borderId="17" xfId="39" applyFont="1" applyBorder="1" applyAlignment="1">
      <alignment vertical="center"/>
    </xf>
    <xf numFmtId="43" fontId="6" fillId="0" borderId="32" xfId="39" applyFont="1" applyBorder="1" applyAlignment="1">
      <alignment vertical="center"/>
    </xf>
    <xf numFmtId="43" fontId="12" fillId="0" borderId="0" xfId="39" applyFont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43" fontId="7" fillId="0" borderId="24" xfId="39" applyFont="1" applyFill="1" applyBorder="1" applyAlignment="1">
      <alignment horizontal="center" vertical="center"/>
    </xf>
    <xf numFmtId="43" fontId="4" fillId="0" borderId="25" xfId="39" applyFont="1" applyFill="1" applyBorder="1" applyAlignment="1">
      <alignment horizontal="center" vertical="center"/>
    </xf>
    <xf numFmtId="43" fontId="6" fillId="0" borderId="11" xfId="39" applyFont="1" applyFill="1" applyBorder="1" applyAlignment="1">
      <alignment horizontal="center" vertical="center"/>
    </xf>
    <xf numFmtId="43" fontId="4" fillId="0" borderId="24" xfId="39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3" fontId="4" fillId="0" borderId="11" xfId="3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3" fontId="4" fillId="0" borderId="14" xfId="39" applyFont="1" applyFill="1" applyBorder="1" applyAlignment="1">
      <alignment/>
    </xf>
    <xf numFmtId="43" fontId="4" fillId="0" borderId="12" xfId="39" applyFont="1" applyFill="1" applyBorder="1" applyAlignment="1">
      <alignment/>
    </xf>
    <xf numFmtId="0" fontId="4" fillId="0" borderId="14" xfId="0" applyFont="1" applyFill="1" applyBorder="1" applyAlignment="1">
      <alignment/>
    </xf>
    <xf numFmtId="43" fontId="4" fillId="0" borderId="16" xfId="39" applyFont="1" applyFill="1" applyBorder="1" applyAlignment="1">
      <alignment horizontal="center"/>
    </xf>
    <xf numFmtId="43" fontId="6" fillId="0" borderId="12" xfId="39" applyFont="1" applyFill="1" applyBorder="1" applyAlignment="1">
      <alignment/>
    </xf>
    <xf numFmtId="0" fontId="6" fillId="0" borderId="12" xfId="0" applyFont="1" applyFill="1" applyBorder="1" applyAlignment="1">
      <alignment/>
    </xf>
    <xf numFmtId="43" fontId="4" fillId="0" borderId="12" xfId="39" applyFont="1" applyFill="1" applyBorder="1" applyAlignment="1">
      <alignment horizontal="center"/>
    </xf>
    <xf numFmtId="43" fontId="6" fillId="0" borderId="12" xfId="39" applyFont="1" applyFill="1" applyBorder="1" applyAlignment="1">
      <alignment horizontal="center"/>
    </xf>
    <xf numFmtId="43" fontId="35" fillId="0" borderId="14" xfId="39" applyFont="1" applyFill="1" applyBorder="1" applyAlignment="1">
      <alignment/>
    </xf>
    <xf numFmtId="43" fontId="4" fillId="0" borderId="13" xfId="39" applyFont="1" applyFill="1" applyBorder="1" applyAlignment="1">
      <alignment horizontal="center"/>
    </xf>
    <xf numFmtId="43" fontId="6" fillId="0" borderId="13" xfId="39" applyFont="1" applyFill="1" applyBorder="1" applyAlignment="1">
      <alignment/>
    </xf>
    <xf numFmtId="43" fontId="6" fillId="0" borderId="13" xfId="39" applyFont="1" applyFill="1" applyBorder="1" applyAlignment="1">
      <alignment horizontal="center"/>
    </xf>
    <xf numFmtId="43" fontId="7" fillId="0" borderId="0" xfId="39" applyFont="1" applyFill="1" applyBorder="1" applyAlignment="1">
      <alignment/>
    </xf>
    <xf numFmtId="0" fontId="7" fillId="0" borderId="14" xfId="0" applyFont="1" applyFill="1" applyBorder="1" applyAlignment="1">
      <alignment/>
    </xf>
    <xf numFmtId="43" fontId="4" fillId="0" borderId="16" xfId="39" applyFont="1" applyFill="1" applyBorder="1" applyAlignment="1">
      <alignment/>
    </xf>
    <xf numFmtId="49" fontId="4" fillId="0" borderId="0" xfId="39" applyNumberFormat="1" applyFont="1" applyFill="1" applyBorder="1" applyAlignment="1">
      <alignment/>
    </xf>
    <xf numFmtId="49" fontId="4" fillId="0" borderId="14" xfId="39" applyNumberFormat="1" applyFont="1" applyFill="1" applyBorder="1" applyAlignment="1">
      <alignment/>
    </xf>
    <xf numFmtId="43" fontId="4" fillId="0" borderId="13" xfId="39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0" borderId="43" xfId="0" applyFont="1" applyFill="1" applyBorder="1" applyAlignment="1">
      <alignment/>
    </xf>
    <xf numFmtId="49" fontId="4" fillId="0" borderId="22" xfId="39" applyNumberFormat="1" applyFont="1" applyFill="1" applyBorder="1" applyAlignment="1">
      <alignment/>
    </xf>
    <xf numFmtId="49" fontId="4" fillId="0" borderId="28" xfId="39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92" fillId="0" borderId="43" xfId="39" applyFont="1" applyFill="1" applyBorder="1" applyAlignment="1">
      <alignment/>
    </xf>
    <xf numFmtId="43" fontId="6" fillId="0" borderId="27" xfId="39" applyFont="1" applyFill="1" applyBorder="1" applyAlignment="1">
      <alignment/>
    </xf>
    <xf numFmtId="43" fontId="6" fillId="0" borderId="0" xfId="39" applyFont="1" applyFill="1" applyBorder="1" applyAlignment="1">
      <alignment/>
    </xf>
    <xf numFmtId="43" fontId="6" fillId="0" borderId="17" xfId="39" applyFont="1" applyFill="1" applyBorder="1" applyAlignment="1">
      <alignment/>
    </xf>
    <xf numFmtId="43" fontId="8" fillId="0" borderId="0" xfId="43" applyFont="1" applyAlignment="1">
      <alignment/>
    </xf>
    <xf numFmtId="43" fontId="5" fillId="0" borderId="15" xfId="43" applyFont="1" applyBorder="1" applyAlignment="1">
      <alignment/>
    </xf>
    <xf numFmtId="43" fontId="5" fillId="0" borderId="0" xfId="43" applyFont="1" applyBorder="1" applyAlignment="1">
      <alignment/>
    </xf>
    <xf numFmtId="0" fontId="93" fillId="0" borderId="0" xfId="0" applyFont="1" applyAlignment="1">
      <alignment/>
    </xf>
    <xf numFmtId="43" fontId="93" fillId="0" borderId="0" xfId="43" applyFont="1" applyAlignment="1">
      <alignment/>
    </xf>
    <xf numFmtId="43" fontId="5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4" fillId="0" borderId="68" xfId="35" applyNumberFormat="1" applyFont="1" applyFill="1" applyBorder="1" applyAlignment="1">
      <alignment wrapText="1" readingOrder="1"/>
      <protection/>
    </xf>
    <xf numFmtId="0" fontId="95" fillId="33" borderId="10" xfId="35" applyNumberFormat="1" applyFont="1" applyFill="1" applyBorder="1" applyAlignment="1">
      <alignment horizontal="center" wrapText="1" readingOrder="1"/>
      <protection/>
    </xf>
    <xf numFmtId="0" fontId="94" fillId="0" borderId="69" xfId="35" applyNumberFormat="1" applyFont="1" applyFill="1" applyBorder="1" applyAlignment="1">
      <alignment wrapText="1" readingOrder="1"/>
      <protection/>
    </xf>
    <xf numFmtId="214" fontId="94" fillId="0" borderId="70" xfId="35" applyNumberFormat="1" applyFont="1" applyFill="1" applyBorder="1" applyAlignment="1">
      <alignment wrapText="1" readingOrder="1"/>
      <protection/>
    </xf>
    <xf numFmtId="0" fontId="94" fillId="0" borderId="71" xfId="35" applyNumberFormat="1" applyFont="1" applyFill="1" applyBorder="1" applyAlignment="1">
      <alignment wrapText="1" readingOrder="1"/>
      <protection/>
    </xf>
    <xf numFmtId="214" fontId="94" fillId="0" borderId="72" xfId="35" applyNumberFormat="1" applyFont="1" applyFill="1" applyBorder="1" applyAlignment="1">
      <alignment wrapText="1" readingOrder="1"/>
      <protection/>
    </xf>
    <xf numFmtId="0" fontId="94" fillId="0" borderId="73" xfId="35" applyNumberFormat="1" applyFont="1" applyFill="1" applyBorder="1" applyAlignment="1">
      <alignment wrapText="1" readingOrder="1"/>
      <protection/>
    </xf>
    <xf numFmtId="214" fontId="94" fillId="0" borderId="74" xfId="35" applyNumberFormat="1" applyFont="1" applyFill="1" applyBorder="1" applyAlignment="1">
      <alignment wrapText="1" readingOrder="1"/>
      <protection/>
    </xf>
    <xf numFmtId="214" fontId="94" fillId="0" borderId="75" xfId="35" applyNumberFormat="1" applyFont="1" applyFill="1" applyBorder="1" applyAlignment="1">
      <alignment wrapText="1" readingOrder="1"/>
      <protection/>
    </xf>
    <xf numFmtId="214" fontId="95" fillId="0" borderId="10" xfId="35" applyNumberFormat="1" applyFont="1" applyFill="1" applyBorder="1" applyAlignment="1">
      <alignment wrapText="1" readingOrder="1"/>
      <protection/>
    </xf>
    <xf numFmtId="214" fontId="95" fillId="0" borderId="23" xfId="35" applyNumberFormat="1" applyFont="1" applyFill="1" applyBorder="1" applyAlignment="1">
      <alignment wrapText="1" readingOrder="1"/>
      <protection/>
    </xf>
    <xf numFmtId="0" fontId="94" fillId="0" borderId="76" xfId="35" applyNumberFormat="1" applyFont="1" applyFill="1" applyBorder="1" applyAlignment="1">
      <alignment wrapText="1" readingOrder="1"/>
      <protection/>
    </xf>
    <xf numFmtId="0" fontId="96" fillId="0" borderId="77" xfId="35" applyNumberFormat="1" applyFont="1" applyFill="1" applyBorder="1" applyAlignment="1">
      <alignment horizontal="center" wrapText="1" readingOrder="1"/>
      <protection/>
    </xf>
    <xf numFmtId="0" fontId="95" fillId="0" borderId="33" xfId="35" applyNumberFormat="1" applyFont="1" applyFill="1" applyBorder="1" applyAlignment="1">
      <alignment horizontal="right" wrapText="1" readingOrder="1"/>
      <protection/>
    </xf>
    <xf numFmtId="0" fontId="94" fillId="0" borderId="77" xfId="35" applyNumberFormat="1" applyFont="1" applyFill="1" applyBorder="1" applyAlignment="1">
      <alignment wrapText="1" readingOrder="1"/>
      <protection/>
    </xf>
    <xf numFmtId="214" fontId="94" fillId="0" borderId="76" xfId="35" applyNumberFormat="1" applyFont="1" applyFill="1" applyBorder="1" applyAlignment="1">
      <alignment wrapText="1" readingOrder="1"/>
      <protection/>
    </xf>
    <xf numFmtId="214" fontId="94" fillId="0" borderId="69" xfId="35" applyNumberFormat="1" applyFont="1" applyFill="1" applyBorder="1" applyAlignment="1">
      <alignment wrapText="1" readingOrder="1"/>
      <protection/>
    </xf>
    <xf numFmtId="0" fontId="94" fillId="0" borderId="0" xfId="35" applyNumberFormat="1" applyFont="1" applyFill="1" applyBorder="1" applyAlignment="1">
      <alignment horizontal="center" readingOrder="1"/>
      <protection/>
    </xf>
    <xf numFmtId="0" fontId="94" fillId="0" borderId="0" xfId="35" applyNumberFormat="1" applyFont="1" applyFill="1" applyBorder="1" applyAlignment="1">
      <alignment readingOrder="1"/>
      <protection/>
    </xf>
    <xf numFmtId="21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71" fillId="0" borderId="0" xfId="55" applyFill="1">
      <alignment/>
      <protection/>
    </xf>
    <xf numFmtId="0" fontId="97" fillId="0" borderId="0" xfId="55" applyFont="1" applyFill="1" applyBorder="1">
      <alignment/>
      <protection/>
    </xf>
    <xf numFmtId="0" fontId="98" fillId="0" borderId="0" xfId="55" applyFont="1" applyFill="1" applyBorder="1">
      <alignment/>
      <protection/>
    </xf>
    <xf numFmtId="0" fontId="0" fillId="0" borderId="0" xfId="0" applyFill="1" applyAlignment="1">
      <alignment/>
    </xf>
    <xf numFmtId="43" fontId="6" fillId="0" borderId="34" xfId="41" applyFont="1" applyFill="1" applyBorder="1" applyAlignment="1">
      <alignment horizontal="right"/>
    </xf>
    <xf numFmtId="43" fontId="6" fillId="0" borderId="43" xfId="41" applyFont="1" applyFill="1" applyBorder="1" applyAlignment="1">
      <alignment horizontal="center"/>
    </xf>
    <xf numFmtId="43" fontId="4" fillId="0" borderId="78" xfId="41" applyFont="1" applyFill="1" applyBorder="1" applyAlignment="1">
      <alignment/>
    </xf>
    <xf numFmtId="43" fontId="6" fillId="0" borderId="79" xfId="41" applyFont="1" applyFill="1" applyBorder="1" applyAlignment="1">
      <alignment/>
    </xf>
    <xf numFmtId="0" fontId="5" fillId="0" borderId="0" xfId="51" applyFont="1" applyFill="1" applyAlignment="1">
      <alignment horizontal="center" vertical="center"/>
      <protection/>
    </xf>
    <xf numFmtId="43" fontId="8" fillId="0" borderId="0" xfId="39" applyFont="1" applyFill="1" applyAlignment="1">
      <alignment vertical="center"/>
    </xf>
    <xf numFmtId="0" fontId="5" fillId="0" borderId="0" xfId="51" applyFont="1" applyFill="1" applyAlignment="1">
      <alignment horizontal="left" vertical="center"/>
      <protection/>
    </xf>
    <xf numFmtId="43" fontId="5" fillId="0" borderId="0" xfId="39" applyFont="1" applyFill="1" applyAlignment="1">
      <alignment horizontal="center" vertical="center"/>
    </xf>
    <xf numFmtId="43" fontId="5" fillId="0" borderId="0" xfId="39" applyFont="1" applyFill="1" applyAlignment="1">
      <alignment/>
    </xf>
    <xf numFmtId="0" fontId="5" fillId="0" borderId="0" xfId="0" applyFont="1" applyFill="1" applyAlignment="1">
      <alignment/>
    </xf>
    <xf numFmtId="49" fontId="8" fillId="0" borderId="30" xfId="51" applyNumberFormat="1" applyFont="1" applyFill="1" applyBorder="1" applyAlignment="1">
      <alignment horizontal="left" vertical="center"/>
      <protection/>
    </xf>
    <xf numFmtId="49" fontId="8" fillId="0" borderId="12" xfId="51" applyNumberFormat="1" applyFont="1" applyFill="1" applyBorder="1" applyAlignment="1">
      <alignment horizontal="left" vertical="center"/>
      <protection/>
    </xf>
    <xf numFmtId="49" fontId="8" fillId="0" borderId="14" xfId="51" applyNumberFormat="1" applyFont="1" applyFill="1" applyBorder="1" applyAlignment="1">
      <alignment horizontal="left" vertical="center"/>
      <protection/>
    </xf>
    <xf numFmtId="43" fontId="8" fillId="0" borderId="14" xfId="39" applyFont="1" applyFill="1" applyBorder="1" applyAlignment="1">
      <alignment vertical="center" wrapText="1"/>
    </xf>
    <xf numFmtId="43" fontId="8" fillId="0" borderId="12" xfId="41" applyFont="1" applyFill="1" applyBorder="1" applyAlignment="1">
      <alignment vertical="center"/>
    </xf>
    <xf numFmtId="49" fontId="8" fillId="0" borderId="14" xfId="51" applyNumberFormat="1" applyFont="1" applyFill="1" applyBorder="1" applyAlignment="1">
      <alignment horizontal="center" vertical="center"/>
      <protection/>
    </xf>
    <xf numFmtId="43" fontId="8" fillId="0" borderId="14" xfId="39" applyFont="1" applyFill="1" applyBorder="1" applyAlignment="1">
      <alignment horizontal="left" vertical="center" wrapText="1"/>
    </xf>
    <xf numFmtId="49" fontId="8" fillId="0" borderId="31" xfId="51" applyNumberFormat="1" applyFont="1" applyFill="1" applyBorder="1" applyAlignment="1">
      <alignment horizontal="left" vertical="center"/>
      <protection/>
    </xf>
    <xf numFmtId="49" fontId="8" fillId="0" borderId="18" xfId="51" applyNumberFormat="1" applyFont="1" applyFill="1" applyBorder="1" applyAlignment="1">
      <alignment horizontal="left" vertical="center"/>
      <protection/>
    </xf>
    <xf numFmtId="49" fontId="8" fillId="0" borderId="29" xfId="51" applyNumberFormat="1" applyFont="1" applyFill="1" applyBorder="1" applyAlignment="1">
      <alignment horizontal="center" vertical="center"/>
      <protection/>
    </xf>
    <xf numFmtId="43" fontId="8" fillId="0" borderId="29" xfId="39" applyFont="1" applyFill="1" applyBorder="1" applyAlignment="1">
      <alignment horizontal="left" vertical="center" wrapText="1"/>
    </xf>
    <xf numFmtId="43" fontId="8" fillId="0" borderId="18" xfId="41" applyFont="1" applyFill="1" applyBorder="1" applyAlignment="1">
      <alignment vertical="center"/>
    </xf>
    <xf numFmtId="43" fontId="5" fillId="0" borderId="17" xfId="39" applyFont="1" applyFill="1" applyBorder="1" applyAlignment="1">
      <alignment/>
    </xf>
    <xf numFmtId="43" fontId="5" fillId="0" borderId="17" xfId="41" applyFont="1" applyFill="1" applyBorder="1" applyAlignment="1">
      <alignment/>
    </xf>
    <xf numFmtId="43" fontId="71" fillId="0" borderId="0" xfId="39" applyFont="1" applyFill="1" applyAlignment="1">
      <alignment/>
    </xf>
    <xf numFmtId="0" fontId="71" fillId="0" borderId="0" xfId="50" applyFill="1">
      <alignment/>
      <protection/>
    </xf>
    <xf numFmtId="0" fontId="8" fillId="0" borderId="0" xfId="51" applyFont="1" applyFill="1">
      <alignment/>
      <protection/>
    </xf>
    <xf numFmtId="43" fontId="8" fillId="0" borderId="0" xfId="39" applyFont="1" applyFill="1" applyAlignment="1">
      <alignment/>
    </xf>
    <xf numFmtId="0" fontId="8" fillId="0" borderId="0" xfId="0" applyFont="1" applyFill="1" applyAlignment="1">
      <alignment/>
    </xf>
    <xf numFmtId="49" fontId="13" fillId="0" borderId="30" xfId="51" applyNumberFormat="1" applyFont="1" applyFill="1" applyBorder="1" applyAlignment="1">
      <alignment horizontal="left" vertical="center"/>
      <protection/>
    </xf>
    <xf numFmtId="49" fontId="13" fillId="0" borderId="12" xfId="51" applyNumberFormat="1" applyFont="1" applyFill="1" applyBorder="1" applyAlignment="1">
      <alignment horizontal="left" vertical="center"/>
      <protection/>
    </xf>
    <xf numFmtId="43" fontId="8" fillId="0" borderId="12" xfId="39" applyFont="1" applyFill="1" applyBorder="1" applyAlignment="1">
      <alignment vertical="center"/>
    </xf>
    <xf numFmtId="49" fontId="13" fillId="0" borderId="31" xfId="51" applyNumberFormat="1" applyFont="1" applyFill="1" applyBorder="1" applyAlignment="1">
      <alignment horizontal="left" vertical="center"/>
      <protection/>
    </xf>
    <xf numFmtId="49" fontId="13" fillId="0" borderId="18" xfId="51" applyNumberFormat="1" applyFont="1" applyFill="1" applyBorder="1" applyAlignment="1">
      <alignment horizontal="left" vertical="center"/>
      <protection/>
    </xf>
    <xf numFmtId="43" fontId="8" fillId="0" borderId="18" xfId="39" applyFont="1" applyFill="1" applyBorder="1" applyAlignment="1">
      <alignment vertical="center"/>
    </xf>
    <xf numFmtId="43" fontId="5" fillId="0" borderId="80" xfId="39" applyFont="1" applyFill="1" applyBorder="1" applyAlignment="1">
      <alignment/>
    </xf>
    <xf numFmtId="0" fontId="97" fillId="0" borderId="0" xfId="50" applyFont="1" applyFill="1" applyBorder="1">
      <alignment/>
      <protection/>
    </xf>
    <xf numFmtId="43" fontId="8" fillId="0" borderId="16" xfId="41" applyFont="1" applyFill="1" applyBorder="1" applyAlignment="1">
      <alignment vertical="center"/>
    </xf>
    <xf numFmtId="0" fontId="98" fillId="0" borderId="0" xfId="50" applyFont="1" applyFill="1" applyBorder="1">
      <alignment/>
      <protection/>
    </xf>
    <xf numFmtId="43" fontId="5" fillId="0" borderId="16" xfId="41" applyFont="1" applyFill="1" applyBorder="1" applyAlignment="1">
      <alignment/>
    </xf>
    <xf numFmtId="43" fontId="5" fillId="0" borderId="80" xfId="39" applyFont="1" applyFill="1" applyBorder="1" applyAlignment="1">
      <alignment/>
    </xf>
    <xf numFmtId="43" fontId="5" fillId="0" borderId="80" xfId="41" applyFont="1" applyFill="1" applyBorder="1" applyAlignment="1">
      <alignment/>
    </xf>
    <xf numFmtId="0" fontId="32" fillId="0" borderId="0" xfId="54" applyFont="1" applyFill="1" applyBorder="1" applyAlignment="1">
      <alignment horizontal="center" vertical="center"/>
      <protection/>
    </xf>
    <xf numFmtId="43" fontId="32" fillId="0" borderId="0" xfId="54" applyNumberFormat="1" applyFont="1" applyFill="1" applyBorder="1" applyAlignment="1">
      <alignment vertical="center"/>
      <protection/>
    </xf>
    <xf numFmtId="43" fontId="32" fillId="0" borderId="0" xfId="43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3" fontId="7" fillId="0" borderId="11" xfId="39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0" fontId="4" fillId="0" borderId="11" xfId="39" applyNumberFormat="1" applyFont="1" applyFill="1" applyBorder="1" applyAlignment="1">
      <alignment/>
    </xf>
    <xf numFmtId="40" fontId="4" fillId="0" borderId="12" xfId="39" applyNumberFormat="1" applyFont="1" applyFill="1" applyBorder="1" applyAlignment="1">
      <alignment/>
    </xf>
    <xf numFmtId="43" fontId="7" fillId="0" borderId="12" xfId="39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215" fontId="4" fillId="0" borderId="12" xfId="39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43" fontId="6" fillId="0" borderId="10" xfId="39" applyFont="1" applyFill="1" applyBorder="1" applyAlignment="1">
      <alignment/>
    </xf>
    <xf numFmtId="43" fontId="4" fillId="0" borderId="12" xfId="39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12" xfId="39" applyNumberFormat="1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3" fontId="4" fillId="0" borderId="41" xfId="39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43" fontId="6" fillId="34" borderId="27" xfId="39" applyFont="1" applyFill="1" applyBorder="1" applyAlignment="1">
      <alignment shrinkToFit="1"/>
    </xf>
    <xf numFmtId="43" fontId="36" fillId="0" borderId="11" xfId="39" applyFont="1" applyFill="1" applyBorder="1" applyAlignment="1">
      <alignment vertical="center"/>
    </xf>
    <xf numFmtId="43" fontId="4" fillId="0" borderId="11" xfId="39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3" fontId="6" fillId="34" borderId="13" xfId="39" applyFont="1" applyFill="1" applyBorder="1" applyAlignment="1">
      <alignment shrinkToFit="1"/>
    </xf>
    <xf numFmtId="49" fontId="4" fillId="0" borderId="0" xfId="0" applyNumberFormat="1" applyFont="1" applyFill="1" applyAlignment="1">
      <alignment horizontal="center"/>
    </xf>
    <xf numFmtId="40" fontId="4" fillId="0" borderId="0" xfId="39" applyNumberFormat="1" applyFont="1" applyFill="1" applyAlignment="1">
      <alignment/>
    </xf>
    <xf numFmtId="49" fontId="4" fillId="0" borderId="81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vertical="center" wrapText="1"/>
    </xf>
    <xf numFmtId="43" fontId="4" fillId="0" borderId="82" xfId="39" applyFont="1" applyBorder="1" applyAlignment="1">
      <alignment vertical="center"/>
    </xf>
    <xf numFmtId="43" fontId="4" fillId="0" borderId="84" xfId="39" applyFont="1" applyBorder="1" applyAlignment="1">
      <alignment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43" fontId="4" fillId="0" borderId="86" xfId="39" applyFont="1" applyBorder="1" applyAlignment="1">
      <alignment vertical="center"/>
    </xf>
    <xf numFmtId="0" fontId="4" fillId="0" borderId="44" xfId="0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left" vertical="center" wrapText="1"/>
    </xf>
    <xf numFmtId="43" fontId="4" fillId="0" borderId="88" xfId="39" applyFont="1" applyBorder="1" applyAlignment="1">
      <alignment vertical="center"/>
    </xf>
    <xf numFmtId="43" fontId="4" fillId="0" borderId="90" xfId="39" applyFont="1" applyBorder="1" applyAlignment="1">
      <alignment vertical="center"/>
    </xf>
    <xf numFmtId="43" fontId="32" fillId="0" borderId="35" xfId="51" applyNumberFormat="1" applyFont="1" applyFill="1" applyBorder="1" applyAlignment="1">
      <alignment vertical="center"/>
      <protection/>
    </xf>
    <xf numFmtId="43" fontId="99" fillId="0" borderId="0" xfId="39" applyFont="1" applyFill="1" applyAlignment="1">
      <alignment vertical="center"/>
    </xf>
    <xf numFmtId="0" fontId="5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left" vertical="center"/>
      <protection/>
    </xf>
    <xf numFmtId="49" fontId="13" fillId="0" borderId="30" xfId="53" applyNumberFormat="1" applyFont="1" applyFill="1" applyBorder="1" applyAlignment="1">
      <alignment horizontal="left" vertical="center"/>
      <protection/>
    </xf>
    <xf numFmtId="49" fontId="13" fillId="0" borderId="12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center" vertical="center"/>
      <protection/>
    </xf>
    <xf numFmtId="43" fontId="4" fillId="0" borderId="14" xfId="39" applyFont="1" applyFill="1" applyBorder="1" applyAlignment="1">
      <alignment vertical="center" wrapText="1"/>
    </xf>
    <xf numFmtId="43" fontId="4" fillId="0" borderId="12" xfId="39" applyFont="1" applyFill="1" applyBorder="1" applyAlignment="1">
      <alignment vertical="center"/>
    </xf>
    <xf numFmtId="43" fontId="4" fillId="0" borderId="14" xfId="39" applyFont="1" applyFill="1" applyBorder="1" applyAlignment="1">
      <alignment horizontal="left" vertical="center" wrapText="1"/>
    </xf>
    <xf numFmtId="43" fontId="6" fillId="0" borderId="80" xfId="39" applyFont="1" applyFill="1" applyBorder="1" applyAlignment="1">
      <alignment/>
    </xf>
    <xf numFmtId="0" fontId="8" fillId="0" borderId="0" xfId="53" applyFont="1" applyFill="1">
      <alignment/>
      <protection/>
    </xf>
    <xf numFmtId="0" fontId="9" fillId="0" borderId="30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43" fontId="6" fillId="0" borderId="14" xfId="39" applyFont="1" applyFill="1" applyBorder="1" applyAlignment="1">
      <alignment horizontal="center" vertical="center"/>
    </xf>
    <xf numFmtId="43" fontId="6" fillId="0" borderId="80" xfId="39" applyFont="1" applyFill="1" applyBorder="1" applyAlignment="1">
      <alignment/>
    </xf>
    <xf numFmtId="43" fontId="0" fillId="0" borderId="0" xfId="39" applyFont="1" applyFill="1" applyAlignment="1">
      <alignment/>
    </xf>
    <xf numFmtId="43" fontId="6" fillId="0" borderId="27" xfId="41" applyFont="1" applyFill="1" applyBorder="1" applyAlignment="1">
      <alignment/>
    </xf>
    <xf numFmtId="43" fontId="6" fillId="0" borderId="91" xfId="41" applyFont="1" applyFill="1" applyBorder="1" applyAlignment="1">
      <alignment horizontal="right"/>
    </xf>
    <xf numFmtId="43" fontId="6" fillId="0" borderId="10" xfId="41" applyFont="1" applyFill="1" applyBorder="1" applyAlignment="1">
      <alignment horizontal="center" vertical="center" wrapText="1"/>
    </xf>
    <xf numFmtId="43" fontId="6" fillId="0" borderId="11" xfId="41" applyFont="1" applyFill="1" applyBorder="1" applyAlignment="1">
      <alignment horizontal="center" vertical="center" wrapText="1"/>
    </xf>
    <xf numFmtId="43" fontId="4" fillId="0" borderId="11" xfId="41" applyFont="1" applyFill="1" applyBorder="1" applyAlignment="1">
      <alignment/>
    </xf>
    <xf numFmtId="0" fontId="95" fillId="33" borderId="10" xfId="35" applyNumberFormat="1" applyFont="1" applyFill="1" applyBorder="1" applyAlignment="1">
      <alignment horizontal="center" vertical="center" wrapText="1" readingOrder="1"/>
      <protection/>
    </xf>
    <xf numFmtId="0" fontId="95" fillId="33" borderId="35" xfId="35" applyNumberFormat="1" applyFont="1" applyFill="1" applyBorder="1" applyAlignment="1">
      <alignment horizontal="center" vertical="center" wrapText="1" readingOrder="1"/>
      <protection/>
    </xf>
    <xf numFmtId="43" fontId="94" fillId="0" borderId="47" xfId="39" applyFont="1" applyFill="1" applyBorder="1" applyAlignment="1">
      <alignment vertical="center" readingOrder="1"/>
    </xf>
    <xf numFmtId="43" fontId="8" fillId="0" borderId="48" xfId="39" applyFont="1" applyBorder="1" applyAlignment="1">
      <alignment/>
    </xf>
    <xf numFmtId="43" fontId="94" fillId="0" borderId="50" xfId="42" applyFont="1" applyFill="1" applyBorder="1" applyAlignment="1">
      <alignment horizontal="right" vertical="center" wrapText="1" readingOrder="1"/>
    </xf>
    <xf numFmtId="43" fontId="94" fillId="0" borderId="48" xfId="42" applyFont="1" applyFill="1" applyBorder="1" applyAlignment="1">
      <alignment horizontal="right" vertical="center" wrapText="1" readingOrder="1"/>
    </xf>
    <xf numFmtId="43" fontId="94" fillId="0" borderId="51" xfId="39" applyFont="1" applyFill="1" applyBorder="1" applyAlignment="1">
      <alignment vertical="center" readingOrder="1"/>
    </xf>
    <xf numFmtId="43" fontId="8" fillId="0" borderId="52" xfId="39" applyFont="1" applyBorder="1" applyAlignment="1">
      <alignment/>
    </xf>
    <xf numFmtId="43" fontId="94" fillId="0" borderId="54" xfId="42" applyFont="1" applyFill="1" applyBorder="1" applyAlignment="1">
      <alignment horizontal="right" vertical="center" wrapText="1" readingOrder="1"/>
    </xf>
    <xf numFmtId="43" fontId="94" fillId="0" borderId="52" xfId="42" applyFont="1" applyFill="1" applyBorder="1" applyAlignment="1">
      <alignment horizontal="right" vertical="center" wrapText="1" readingOrder="1"/>
    </xf>
    <xf numFmtId="43" fontId="94" fillId="0" borderId="55" xfId="39" applyFont="1" applyFill="1" applyBorder="1" applyAlignment="1">
      <alignment vertical="center" readingOrder="1"/>
    </xf>
    <xf numFmtId="43" fontId="8" fillId="0" borderId="56" xfId="39" applyFont="1" applyBorder="1" applyAlignment="1">
      <alignment/>
    </xf>
    <xf numFmtId="43" fontId="94" fillId="0" borderId="58" xfId="42" applyFont="1" applyFill="1" applyBorder="1" applyAlignment="1">
      <alignment horizontal="right" vertical="center" wrapText="1" readingOrder="1"/>
    </xf>
    <xf numFmtId="43" fontId="94" fillId="0" borderId="56" xfId="42" applyFont="1" applyFill="1" applyBorder="1" applyAlignment="1">
      <alignment horizontal="right" vertical="center" wrapText="1" readingOrder="1"/>
    </xf>
    <xf numFmtId="43" fontId="94" fillId="0" borderId="92" xfId="39" applyFont="1" applyFill="1" applyBorder="1" applyAlignment="1">
      <alignment vertical="center" readingOrder="1"/>
    </xf>
    <xf numFmtId="43" fontId="8" fillId="0" borderId="93" xfId="39" applyFont="1" applyBorder="1" applyAlignment="1">
      <alignment/>
    </xf>
    <xf numFmtId="43" fontId="94" fillId="0" borderId="94" xfId="42" applyFont="1" applyFill="1" applyBorder="1" applyAlignment="1">
      <alignment horizontal="right" vertical="center" wrapText="1" readingOrder="1"/>
    </xf>
    <xf numFmtId="43" fontId="94" fillId="0" borderId="93" xfId="42" applyFont="1" applyFill="1" applyBorder="1" applyAlignment="1">
      <alignment horizontal="right" vertical="center" wrapText="1" readingOrder="1"/>
    </xf>
    <xf numFmtId="43" fontId="8" fillId="0" borderId="51" xfId="39" applyFont="1" applyFill="1" applyBorder="1" applyAlignment="1">
      <alignment vertical="center" readingOrder="1"/>
    </xf>
    <xf numFmtId="43" fontId="8" fillId="0" borderId="54" xfId="42" applyFont="1" applyFill="1" applyBorder="1" applyAlignment="1">
      <alignment horizontal="right" vertical="center" wrapText="1" readingOrder="1"/>
    </xf>
    <xf numFmtId="43" fontId="8" fillId="0" borderId="52" xfId="42" applyFont="1" applyFill="1" applyBorder="1" applyAlignment="1">
      <alignment horizontal="right" vertical="center" wrapText="1" readingOrder="1"/>
    </xf>
    <xf numFmtId="43" fontId="95" fillId="33" borderId="35" xfId="35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/>
    </xf>
    <xf numFmtId="206" fontId="5" fillId="0" borderId="0" xfId="39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39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8" fillId="0" borderId="0" xfId="39" applyFont="1" applyFill="1" applyAlignment="1">
      <alignment horizontal="center"/>
    </xf>
    <xf numFmtId="43" fontId="5" fillId="0" borderId="0" xfId="39" applyFont="1" applyFill="1" applyBorder="1" applyAlignment="1">
      <alignment horizontal="center"/>
    </xf>
    <xf numFmtId="43" fontId="8" fillId="0" borderId="0" xfId="39" applyFont="1" applyFill="1" applyBorder="1" applyAlignment="1">
      <alignment horizontal="center"/>
    </xf>
    <xf numFmtId="0" fontId="95" fillId="0" borderId="33" xfId="35" applyNumberFormat="1" applyFont="1" applyFill="1" applyBorder="1" applyAlignment="1">
      <alignment horizontal="right" vertical="center" readingOrder="1"/>
      <protection/>
    </xf>
    <xf numFmtId="43" fontId="5" fillId="0" borderId="35" xfId="39" applyFont="1" applyBorder="1" applyAlignment="1">
      <alignment/>
    </xf>
    <xf numFmtId="43" fontId="95" fillId="0" borderId="10" xfId="42" applyFont="1" applyFill="1" applyBorder="1" applyAlignment="1">
      <alignment horizontal="right" vertical="center" wrapText="1" readingOrder="1"/>
    </xf>
    <xf numFmtId="43" fontId="95" fillId="0" borderId="35" xfId="42" applyFont="1" applyFill="1" applyBorder="1" applyAlignment="1">
      <alignment horizontal="right" vertical="center" wrapText="1" readingOrder="1"/>
    </xf>
    <xf numFmtId="0" fontId="37" fillId="0" borderId="0" xfId="53" applyFont="1" applyFill="1" applyAlignment="1">
      <alignment horizontal="center"/>
      <protection/>
    </xf>
    <xf numFmtId="43" fontId="37" fillId="0" borderId="0" xfId="39" applyFont="1" applyFill="1" applyAlignment="1">
      <alignment horizontal="center"/>
    </xf>
    <xf numFmtId="0" fontId="100" fillId="0" borderId="0" xfId="55" applyFont="1" applyFill="1" applyAlignment="1">
      <alignment horizontal="center"/>
      <protection/>
    </xf>
    <xf numFmtId="0" fontId="3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6" fillId="0" borderId="0" xfId="42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6" fillId="0" borderId="33" xfId="39" applyFont="1" applyBorder="1" applyAlignment="1">
      <alignment horizontal="center"/>
    </xf>
    <xf numFmtId="43" fontId="6" fillId="0" borderId="35" xfId="39" applyFont="1" applyBorder="1" applyAlignment="1">
      <alignment horizontal="center"/>
    </xf>
    <xf numFmtId="43" fontId="4" fillId="0" borderId="34" xfId="39" applyFont="1" applyFill="1" applyBorder="1" applyAlignment="1">
      <alignment horizontal="left" shrinkToFit="1"/>
    </xf>
    <xf numFmtId="43" fontId="4" fillId="0" borderId="44" xfId="39" applyFont="1" applyFill="1" applyBorder="1" applyAlignment="1">
      <alignment horizontal="left" shrinkToFit="1"/>
    </xf>
    <xf numFmtId="43" fontId="4" fillId="0" borderId="91" xfId="39" applyFont="1" applyFill="1" applyBorder="1" applyAlignment="1">
      <alignment horizontal="center"/>
    </xf>
    <xf numFmtId="43" fontId="4" fillId="0" borderId="15" xfId="39" applyFont="1" applyFill="1" applyBorder="1" applyAlignment="1">
      <alignment horizontal="center"/>
    </xf>
    <xf numFmtId="43" fontId="4" fillId="0" borderId="0" xfId="42" applyFont="1" applyFill="1" applyAlignment="1">
      <alignment horizontal="center"/>
    </xf>
    <xf numFmtId="43" fontId="4" fillId="0" borderId="0" xfId="39" applyFont="1" applyFill="1" applyAlignment="1">
      <alignment horizontal="center"/>
    </xf>
    <xf numFmtId="43" fontId="6" fillId="0" borderId="0" xfId="39" applyFont="1" applyFill="1" applyAlignment="1">
      <alignment horizontal="center"/>
    </xf>
    <xf numFmtId="0" fontId="90" fillId="33" borderId="33" xfId="35" applyNumberFormat="1" applyFont="1" applyFill="1" applyBorder="1" applyAlignment="1">
      <alignment horizontal="center" vertical="center" wrapText="1" readingOrder="1"/>
      <protection/>
    </xf>
    <xf numFmtId="0" fontId="90" fillId="33" borderId="35" xfId="35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6" fontId="5" fillId="0" borderId="0" xfId="39" applyNumberFormat="1" applyFont="1" applyAlignment="1">
      <alignment horizontal="center"/>
    </xf>
    <xf numFmtId="206" fontId="5" fillId="0" borderId="22" xfId="39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0" fontId="6" fillId="0" borderId="11" xfId="39" applyNumberFormat="1" applyFont="1" applyFill="1" applyBorder="1" applyAlignment="1">
      <alignment horizontal="center" vertical="center"/>
    </xf>
    <xf numFmtId="40" fontId="6" fillId="0" borderId="13" xfId="39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3" fontId="6" fillId="0" borderId="11" xfId="39" applyFont="1" applyFill="1" applyBorder="1" applyAlignment="1">
      <alignment horizontal="center" vertical="center"/>
    </xf>
    <xf numFmtId="43" fontId="6" fillId="0" borderId="13" xfId="39" applyFont="1" applyFill="1" applyBorder="1" applyAlignment="1">
      <alignment horizontal="center" vertical="center"/>
    </xf>
    <xf numFmtId="0" fontId="32" fillId="0" borderId="43" xfId="51" applyFont="1" applyFill="1" applyBorder="1" applyAlignment="1">
      <alignment horizontal="center" vertical="center"/>
      <protection/>
    </xf>
    <xf numFmtId="0" fontId="32" fillId="0" borderId="22" xfId="51" applyFont="1" applyFill="1" applyBorder="1" applyAlignment="1">
      <alignment horizontal="center" vertical="center"/>
      <protection/>
    </xf>
    <xf numFmtId="0" fontId="31" fillId="0" borderId="0" xfId="54" applyFont="1" applyFill="1" applyAlignment="1">
      <alignment horizontal="center" vertical="center"/>
      <protection/>
    </xf>
    <xf numFmtId="2" fontId="31" fillId="0" borderId="0" xfId="54" applyNumberFormat="1" applyFont="1" applyFill="1" applyAlignment="1">
      <alignment horizontal="center" vertical="center"/>
      <protection/>
    </xf>
    <xf numFmtId="0" fontId="6" fillId="0" borderId="0" xfId="0" applyFont="1" applyAlignment="1">
      <alignment horizontal="center"/>
    </xf>
    <xf numFmtId="43" fontId="6" fillId="0" borderId="25" xfId="39" applyFont="1" applyBorder="1" applyAlignment="1">
      <alignment horizontal="center" vertical="center"/>
    </xf>
    <xf numFmtId="43" fontId="6" fillId="0" borderId="43" xfId="39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43" fontId="6" fillId="0" borderId="0" xfId="39" applyFont="1" applyBorder="1" applyAlignment="1">
      <alignment horizontal="right"/>
    </xf>
    <xf numFmtId="43" fontId="6" fillId="0" borderId="14" xfId="39" applyFont="1" applyBorder="1" applyAlignment="1">
      <alignment horizontal="right"/>
    </xf>
    <xf numFmtId="43" fontId="6" fillId="0" borderId="0" xfId="39" applyFont="1" applyAlignment="1">
      <alignment horizontal="center"/>
    </xf>
    <xf numFmtId="43" fontId="4" fillId="0" borderId="0" xfId="39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5" fillId="0" borderId="0" xfId="35" applyNumberFormat="1" applyFont="1" applyFill="1" applyBorder="1" applyAlignment="1">
      <alignment horizontal="center" wrapText="1" readingOrder="1"/>
      <protection/>
    </xf>
    <xf numFmtId="0" fontId="90" fillId="0" borderId="0" xfId="35" applyNumberFormat="1" applyFont="1" applyFill="1" applyBorder="1" applyAlignment="1">
      <alignment horizontal="center" wrapText="1" readingOrder="1"/>
      <protection/>
    </xf>
    <xf numFmtId="0" fontId="5" fillId="0" borderId="0" xfId="0" applyFont="1" applyAlignment="1">
      <alignment horizontal="center" vertical="center"/>
    </xf>
    <xf numFmtId="43" fontId="14" fillId="0" borderId="0" xfId="39" applyFont="1" applyFill="1" applyAlignment="1">
      <alignment horizontal="center"/>
    </xf>
    <xf numFmtId="43" fontId="13" fillId="0" borderId="0" xfId="39" applyFont="1" applyFill="1" applyAlignment="1">
      <alignment horizontal="center"/>
    </xf>
    <xf numFmtId="43" fontId="14" fillId="0" borderId="0" xfId="39" applyFont="1" applyAlignment="1">
      <alignment horizontal="center"/>
    </xf>
    <xf numFmtId="43" fontId="13" fillId="0" borderId="0" xfId="39" applyFont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2" fillId="0" borderId="33" xfId="51" applyFont="1" applyFill="1" applyBorder="1" applyAlignment="1">
      <alignment horizontal="center" vertical="center"/>
      <protection/>
    </xf>
    <xf numFmtId="0" fontId="32" fillId="0" borderId="23" xfId="51" applyFont="1" applyFill="1" applyBorder="1" applyAlignment="1">
      <alignment horizontal="center" vertical="center"/>
      <protection/>
    </xf>
    <xf numFmtId="0" fontId="32" fillId="0" borderId="33" xfId="54" applyFont="1" applyFill="1" applyBorder="1" applyAlignment="1">
      <alignment horizontal="center" vertical="center"/>
      <protection/>
    </xf>
    <xf numFmtId="0" fontId="32" fillId="0" borderId="23" xfId="54" applyFont="1" applyFill="1" applyBorder="1" applyAlignment="1">
      <alignment horizontal="center" vertical="center"/>
      <protection/>
    </xf>
    <xf numFmtId="0" fontId="32" fillId="0" borderId="35" xfId="54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/>
    </xf>
    <xf numFmtId="49" fontId="6" fillId="0" borderId="97" xfId="0" applyNumberFormat="1" applyFont="1" applyBorder="1" applyAlignment="1">
      <alignment horizontal="center"/>
    </xf>
    <xf numFmtId="49" fontId="6" fillId="0" borderId="98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49" fontId="6" fillId="0" borderId="97" xfId="0" applyNumberFormat="1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5" fillId="33" borderId="33" xfId="35" applyNumberFormat="1" applyFont="1" applyFill="1" applyBorder="1" applyAlignment="1">
      <alignment horizontal="center" vertical="center" wrapText="1" readingOrder="1"/>
      <protection/>
    </xf>
    <xf numFmtId="0" fontId="95" fillId="33" borderId="35" xfId="35" applyNumberFormat="1" applyFont="1" applyFill="1" applyBorder="1" applyAlignment="1">
      <alignment horizontal="center" vertical="center" wrapText="1" readingOrder="1"/>
      <protection/>
    </xf>
    <xf numFmtId="43" fontId="5" fillId="0" borderId="0" xfId="39" applyFont="1" applyFill="1" applyAlignment="1">
      <alignment horizontal="center"/>
    </xf>
    <xf numFmtId="43" fontId="8" fillId="0" borderId="0" xfId="39" applyFont="1" applyFill="1" applyAlignment="1">
      <alignment horizontal="center"/>
    </xf>
    <xf numFmtId="0" fontId="5" fillId="0" borderId="100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49" fontId="5" fillId="0" borderId="96" xfId="51" applyNumberFormat="1" applyFont="1" applyFill="1" applyBorder="1" applyAlignment="1">
      <alignment horizontal="center"/>
      <protection/>
    </xf>
    <xf numFmtId="49" fontId="5" fillId="0" borderId="97" xfId="51" applyNumberFormat="1" applyFont="1" applyFill="1" applyBorder="1" applyAlignment="1">
      <alignment horizontal="center"/>
      <protection/>
    </xf>
    <xf numFmtId="0" fontId="14" fillId="0" borderId="99" xfId="51" applyFont="1" applyFill="1" applyBorder="1" applyAlignment="1">
      <alignment horizontal="center" vertical="center" wrapText="1"/>
      <protection/>
    </xf>
    <xf numFmtId="0" fontId="14" fillId="0" borderId="30" xfId="51" applyFont="1" applyFill="1" applyBorder="1" applyAlignment="1">
      <alignment horizontal="center" vertical="center" wrapText="1"/>
      <protection/>
    </xf>
    <xf numFmtId="0" fontId="13" fillId="0" borderId="31" xfId="51" applyFont="1" applyFill="1" applyBorder="1" applyAlignment="1">
      <alignment horizontal="center" vertical="center" wrapText="1"/>
      <protection/>
    </xf>
    <xf numFmtId="0" fontId="14" fillId="0" borderId="100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0" fontId="14" fillId="0" borderId="18" xfId="51" applyFont="1" applyFill="1" applyBorder="1" applyAlignment="1">
      <alignment horizontal="center" vertical="center" wrapText="1"/>
      <protection/>
    </xf>
    <xf numFmtId="43" fontId="14" fillId="0" borderId="101" xfId="39" applyFont="1" applyFill="1" applyBorder="1" applyAlignment="1">
      <alignment horizontal="center" vertical="center"/>
    </xf>
    <xf numFmtId="43" fontId="14" fillId="0" borderId="14" xfId="39" applyFont="1" applyFill="1" applyBorder="1" applyAlignment="1">
      <alignment horizontal="center" vertical="center"/>
    </xf>
    <xf numFmtId="43" fontId="14" fillId="0" borderId="102" xfId="39" applyFont="1" applyFill="1" applyBorder="1" applyAlignment="1">
      <alignment horizontal="center" vertical="center"/>
    </xf>
    <xf numFmtId="0" fontId="5" fillId="0" borderId="0" xfId="51" applyFont="1" applyFill="1" applyAlignment="1">
      <alignment horizontal="center" vertical="center"/>
      <protection/>
    </xf>
    <xf numFmtId="43" fontId="14" fillId="0" borderId="100" xfId="39" applyFont="1" applyFill="1" applyBorder="1" applyAlignment="1">
      <alignment horizontal="center" vertical="center" wrapText="1"/>
    </xf>
    <xf numFmtId="43" fontId="14" fillId="0" borderId="12" xfId="39" applyFont="1" applyFill="1" applyBorder="1" applyAlignment="1">
      <alignment horizontal="center" vertical="center" wrapText="1"/>
    </xf>
    <xf numFmtId="43" fontId="14" fillId="0" borderId="18" xfId="39" applyFont="1" applyFill="1" applyBorder="1" applyAlignment="1">
      <alignment horizontal="center" vertical="center" wrapText="1"/>
    </xf>
    <xf numFmtId="0" fontId="5" fillId="0" borderId="99" xfId="5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8" fillId="0" borderId="31" xfId="51" applyFont="1" applyFill="1" applyBorder="1" applyAlignment="1">
      <alignment horizontal="center"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43" fontId="5" fillId="0" borderId="100" xfId="39" applyFont="1" applyFill="1" applyBorder="1" applyAlignment="1">
      <alignment horizontal="center" vertical="center" wrapText="1"/>
    </xf>
    <xf numFmtId="43" fontId="5" fillId="0" borderId="12" xfId="39" applyFont="1" applyFill="1" applyBorder="1" applyAlignment="1">
      <alignment horizontal="center" vertical="center" wrapText="1"/>
    </xf>
    <xf numFmtId="43" fontId="5" fillId="0" borderId="18" xfId="39" applyFont="1" applyFill="1" applyBorder="1" applyAlignment="1">
      <alignment horizontal="center" vertical="center" wrapText="1"/>
    </xf>
    <xf numFmtId="0" fontId="5" fillId="0" borderId="16" xfId="51" applyFont="1" applyFill="1" applyBorder="1" applyAlignment="1">
      <alignment horizontal="center" vertical="center" wrapText="1"/>
      <protection/>
    </xf>
    <xf numFmtId="43" fontId="5" fillId="0" borderId="101" xfId="39" applyFont="1" applyFill="1" applyBorder="1" applyAlignment="1">
      <alignment horizontal="center" vertical="center"/>
    </xf>
    <xf numFmtId="43" fontId="5" fillId="0" borderId="14" xfId="39" applyFont="1" applyFill="1" applyBorder="1" applyAlignment="1">
      <alignment horizontal="center" vertical="center"/>
    </xf>
    <xf numFmtId="43" fontId="5" fillId="0" borderId="102" xfId="39" applyFont="1" applyFill="1" applyBorder="1" applyAlignment="1">
      <alignment horizontal="center" vertical="center"/>
    </xf>
    <xf numFmtId="0" fontId="21" fillId="0" borderId="100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 vertical="center" wrapText="1"/>
      <protection/>
    </xf>
    <xf numFmtId="0" fontId="21" fillId="0" borderId="18" xfId="51" applyFont="1" applyFill="1" applyBorder="1" applyAlignment="1">
      <alignment horizontal="center" vertical="center" wrapText="1"/>
      <protection/>
    </xf>
    <xf numFmtId="49" fontId="5" fillId="0" borderId="96" xfId="53" applyNumberFormat="1" applyFont="1" applyFill="1" applyBorder="1" applyAlignment="1">
      <alignment horizontal="center"/>
      <protection/>
    </xf>
    <xf numFmtId="49" fontId="5" fillId="0" borderId="97" xfId="53" applyNumberFormat="1" applyFont="1" applyFill="1" applyBorder="1" applyAlignment="1">
      <alignment horizontal="center"/>
      <protection/>
    </xf>
    <xf numFmtId="0" fontId="5" fillId="0" borderId="0" xfId="53" applyFont="1" applyFill="1" applyAlignment="1">
      <alignment horizontal="center" vertical="center"/>
      <protection/>
    </xf>
    <xf numFmtId="0" fontId="5" fillId="0" borderId="99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5" fillId="0" borderId="10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43" fontId="4" fillId="0" borderId="34" xfId="41" applyFont="1" applyFill="1" applyBorder="1" applyAlignment="1">
      <alignment horizontal="left"/>
    </xf>
    <xf numFmtId="43" fontId="4" fillId="0" borderId="61" xfId="41" applyFont="1" applyFill="1" applyBorder="1" applyAlignment="1">
      <alignment horizontal="left"/>
    </xf>
    <xf numFmtId="43" fontId="4" fillId="0" borderId="43" xfId="41" applyFont="1" applyFill="1" applyBorder="1" applyAlignment="1">
      <alignment horizontal="left"/>
    </xf>
    <xf numFmtId="43" fontId="4" fillId="0" borderId="22" xfId="41" applyFont="1" applyFill="1" applyBorder="1" applyAlignment="1">
      <alignment horizontal="left"/>
    </xf>
    <xf numFmtId="43" fontId="6" fillId="0" borderId="0" xfId="41" applyFont="1" applyFill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6" fillId="0" borderId="14" xfId="41" applyFont="1" applyFill="1" applyBorder="1" applyAlignment="1">
      <alignment horizontal="center"/>
    </xf>
    <xf numFmtId="43" fontId="4" fillId="0" borderId="39" xfId="41" applyFont="1" applyFill="1" applyBorder="1" applyAlignment="1">
      <alignment horizontal="left" wrapText="1"/>
    </xf>
    <xf numFmtId="43" fontId="4" fillId="0" borderId="62" xfId="41" applyFont="1" applyFill="1" applyBorder="1" applyAlignment="1">
      <alignment horizontal="left"/>
    </xf>
    <xf numFmtId="43" fontId="4" fillId="0" borderId="40" xfId="41" applyFont="1" applyFill="1" applyBorder="1" applyAlignment="1">
      <alignment horizontal="left" wrapText="1"/>
    </xf>
    <xf numFmtId="43" fontId="4" fillId="0" borderId="60" xfId="41" applyFont="1" applyFill="1" applyBorder="1" applyAlignment="1">
      <alignment horizontal="left"/>
    </xf>
    <xf numFmtId="43" fontId="6" fillId="0" borderId="91" xfId="41" applyFont="1" applyFill="1" applyBorder="1" applyAlignment="1">
      <alignment horizontal="center"/>
    </xf>
    <xf numFmtId="43" fontId="6" fillId="0" borderId="15" xfId="41" applyFont="1" applyFill="1" applyBorder="1" applyAlignment="1">
      <alignment horizontal="center"/>
    </xf>
    <xf numFmtId="43" fontId="7" fillId="0" borderId="16" xfId="41" applyFont="1" applyFill="1" applyBorder="1" applyAlignment="1">
      <alignment horizontal="center"/>
    </xf>
    <xf numFmtId="43" fontId="7" fillId="0" borderId="0" xfId="41" applyFont="1" applyFill="1" applyBorder="1" applyAlignment="1">
      <alignment horizontal="center"/>
    </xf>
    <xf numFmtId="43" fontId="18" fillId="0" borderId="0" xfId="41" applyFont="1" applyFill="1" applyAlignment="1">
      <alignment horizontal="center"/>
    </xf>
    <xf numFmtId="43" fontId="18" fillId="0" borderId="22" xfId="41" applyFont="1" applyFill="1" applyBorder="1" applyAlignment="1">
      <alignment horizontal="center"/>
    </xf>
    <xf numFmtId="43" fontId="6" fillId="0" borderId="33" xfId="41" applyFont="1" applyFill="1" applyBorder="1" applyAlignment="1">
      <alignment horizontal="center" vertical="center"/>
    </xf>
    <xf numFmtId="43" fontId="6" fillId="0" borderId="23" xfId="41" applyFont="1" applyFill="1" applyBorder="1" applyAlignment="1">
      <alignment horizontal="center" vertical="center"/>
    </xf>
    <xf numFmtId="43" fontId="7" fillId="0" borderId="25" xfId="41" applyFont="1" applyFill="1" applyBorder="1" applyAlignment="1">
      <alignment horizontal="center"/>
    </xf>
    <xf numFmtId="43" fontId="7" fillId="0" borderId="24" xfId="41" applyFont="1" applyFill="1" applyBorder="1" applyAlignment="1">
      <alignment horizontal="center"/>
    </xf>
    <xf numFmtId="43" fontId="6" fillId="0" borderId="24" xfId="39" applyFont="1" applyFill="1" applyBorder="1" applyAlignment="1">
      <alignment horizontal="center" vertical="center"/>
    </xf>
    <xf numFmtId="43" fontId="6" fillId="0" borderId="26" xfId="39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3" fontId="6" fillId="0" borderId="16" xfId="3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2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กติ 2 3" xfId="52"/>
    <cellStyle name="ปกติ 2 4" xfId="53"/>
    <cellStyle name="ปกติ 3" xfId="54"/>
    <cellStyle name="ปกติ 4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43</xdr:row>
      <xdr:rowOff>0</xdr:rowOff>
    </xdr:from>
    <xdr:to>
      <xdr:col>4</xdr:col>
      <xdr:colOff>1114425</xdr:colOff>
      <xdr:row>43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362575" y="87344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  <xdr:twoCellAnchor>
    <xdr:from>
      <xdr:col>4</xdr:col>
      <xdr:colOff>323850</xdr:colOff>
      <xdr:row>47</xdr:row>
      <xdr:rowOff>0</xdr:rowOff>
    </xdr:from>
    <xdr:to>
      <xdr:col>4</xdr:col>
      <xdr:colOff>1114425</xdr:colOff>
      <xdr:row>47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362575" y="96488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4</xdr:col>
      <xdr:colOff>1019175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แผ่นที่ 2/2</a:t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1019175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0537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แผ่นที่ 1/2</a:t>
          </a:r>
        </a:p>
      </xdr:txBody>
    </xdr:sp>
    <xdr:clientData/>
  </xdr:twoCellAnchor>
  <xdr:oneCellAnchor>
    <xdr:from>
      <xdr:col>6</xdr:col>
      <xdr:colOff>0</xdr:colOff>
      <xdr:row>87</xdr:row>
      <xdr:rowOff>0</xdr:rowOff>
    </xdr:from>
    <xdr:ext cx="0" cy="47625"/>
    <xdr:sp>
      <xdr:nvSpPr>
        <xdr:cNvPr id="3" name="Text Box 6"/>
        <xdr:cNvSpPr txBox="1">
          <a:spLocks noChangeArrowheads="1"/>
        </xdr:cNvSpPr>
      </xdr:nvSpPr>
      <xdr:spPr>
        <a:xfrm>
          <a:off x="6715125" y="23983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0" cy="47625"/>
    <xdr:sp>
      <xdr:nvSpPr>
        <xdr:cNvPr id="4" name="Text Box 8"/>
        <xdr:cNvSpPr txBox="1">
          <a:spLocks noChangeArrowheads="1"/>
        </xdr:cNvSpPr>
      </xdr:nvSpPr>
      <xdr:spPr>
        <a:xfrm>
          <a:off x="6715125" y="23983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0" cy="47625"/>
    <xdr:sp>
      <xdr:nvSpPr>
        <xdr:cNvPr id="5" name="Text Box 10"/>
        <xdr:cNvSpPr txBox="1">
          <a:spLocks noChangeArrowheads="1"/>
        </xdr:cNvSpPr>
      </xdr:nvSpPr>
      <xdr:spPr>
        <a:xfrm>
          <a:off x="6715125" y="23983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0" cy="47625"/>
    <xdr:sp>
      <xdr:nvSpPr>
        <xdr:cNvPr id="6" name="Text Box 12"/>
        <xdr:cNvSpPr txBox="1">
          <a:spLocks noChangeArrowheads="1"/>
        </xdr:cNvSpPr>
      </xdr:nvSpPr>
      <xdr:spPr>
        <a:xfrm>
          <a:off x="6715125" y="23983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twoCellAnchor>
    <xdr:from>
      <xdr:col>4</xdr:col>
      <xdr:colOff>838200</xdr:colOff>
      <xdr:row>0</xdr:row>
      <xdr:rowOff>0</xdr:rowOff>
    </xdr:from>
    <xdr:to>
      <xdr:col>5</xdr:col>
      <xdr:colOff>971550</xdr:colOff>
      <xdr:row>1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534025" y="0"/>
          <a:ext cx="1152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(หมายเหตุ 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47625</xdr:rowOff>
    </xdr:from>
    <xdr:to>
      <xdr:col>5</xdr:col>
      <xdr:colOff>904875</xdr:colOff>
      <xdr:row>1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267325" y="47625"/>
          <a:ext cx="1371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(หมายเหตุ 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2</xdr:col>
      <xdr:colOff>552450</xdr:colOff>
      <xdr:row>0</xdr:row>
      <xdr:rowOff>38100</xdr:rowOff>
    </xdr:from>
    <xdr:to>
      <xdr:col>2</xdr:col>
      <xdr:colOff>1400175</xdr:colOff>
      <xdr:row>1</xdr:row>
      <xdr:rowOff>38100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4629150" y="38100"/>
          <a:ext cx="8477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(หมายเหตุ 3)</a:t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0" cy="323850"/>
    <xdr:sp>
      <xdr:nvSpPr>
        <xdr:cNvPr id="3" name="Text Box 6"/>
        <xdr:cNvSpPr txBox="1">
          <a:spLocks noChangeArrowheads="1"/>
        </xdr:cNvSpPr>
      </xdr:nvSpPr>
      <xdr:spPr>
        <a:xfrm>
          <a:off x="4076700" y="2733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0" cy="323850"/>
    <xdr:sp>
      <xdr:nvSpPr>
        <xdr:cNvPr id="4" name="Text Box 8"/>
        <xdr:cNvSpPr txBox="1">
          <a:spLocks noChangeArrowheads="1"/>
        </xdr:cNvSpPr>
      </xdr:nvSpPr>
      <xdr:spPr>
        <a:xfrm>
          <a:off x="4076700" y="2733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0" cy="323850"/>
    <xdr:sp>
      <xdr:nvSpPr>
        <xdr:cNvPr id="5" name="Text Box 10"/>
        <xdr:cNvSpPr txBox="1">
          <a:spLocks noChangeArrowheads="1"/>
        </xdr:cNvSpPr>
      </xdr:nvSpPr>
      <xdr:spPr>
        <a:xfrm>
          <a:off x="4076700" y="2733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0" cy="323850"/>
    <xdr:sp>
      <xdr:nvSpPr>
        <xdr:cNvPr id="6" name="Text Box 12"/>
        <xdr:cNvSpPr txBox="1">
          <a:spLocks noChangeArrowheads="1"/>
        </xdr:cNvSpPr>
      </xdr:nvSpPr>
      <xdr:spPr>
        <a:xfrm>
          <a:off x="4076700" y="2733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42</xdr:row>
      <xdr:rowOff>28575</xdr:rowOff>
    </xdr:from>
    <xdr:to>
      <xdr:col>4</xdr:col>
      <xdr:colOff>295275</xdr:colOff>
      <xdr:row>42</xdr:row>
      <xdr:rowOff>219075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381625" y="10925175"/>
          <a:ext cx="76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0" cy="361950"/>
    <xdr:sp>
      <xdr:nvSpPr>
        <xdr:cNvPr id="1" name="Text Box 6"/>
        <xdr:cNvSpPr txBox="1">
          <a:spLocks noChangeArrowheads="1"/>
        </xdr:cNvSpPr>
      </xdr:nvSpPr>
      <xdr:spPr>
        <a:xfrm>
          <a:off x="2733675" y="2505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0" cy="361950"/>
    <xdr:sp>
      <xdr:nvSpPr>
        <xdr:cNvPr id="2" name="Text Box 8"/>
        <xdr:cNvSpPr txBox="1">
          <a:spLocks noChangeArrowheads="1"/>
        </xdr:cNvSpPr>
      </xdr:nvSpPr>
      <xdr:spPr>
        <a:xfrm>
          <a:off x="2733675" y="2505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0" cy="361950"/>
    <xdr:sp>
      <xdr:nvSpPr>
        <xdr:cNvPr id="3" name="Text Box 10"/>
        <xdr:cNvSpPr txBox="1">
          <a:spLocks noChangeArrowheads="1"/>
        </xdr:cNvSpPr>
      </xdr:nvSpPr>
      <xdr:spPr>
        <a:xfrm>
          <a:off x="2733675" y="2505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0" cy="361950"/>
    <xdr:sp>
      <xdr:nvSpPr>
        <xdr:cNvPr id="4" name="Text Box 12"/>
        <xdr:cNvSpPr txBox="1">
          <a:spLocks noChangeArrowheads="1"/>
        </xdr:cNvSpPr>
      </xdr:nvSpPr>
      <xdr:spPr>
        <a:xfrm>
          <a:off x="2733675" y="2505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ตรวจสอบถูกต้อง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35</xdr:row>
      <xdr:rowOff>228600</xdr:rowOff>
    </xdr:from>
    <xdr:to>
      <xdr:col>9</xdr:col>
      <xdr:colOff>800100</xdr:colOff>
      <xdr:row>36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96625" y="8229600"/>
          <a:ext cx="1247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แผ่นที่ 2/2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48;&#3604;&#3639;&#3629;&#3609;\12%20&#3585;&#3633;&#3609;&#3618;&#3634;&#3618;&#3609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รับ-จ่าย"/>
      <sheetName val="หมายเหตุ 1,2,3"/>
      <sheetName val="รายจ่ายค้างจ่าย"/>
      <sheetName val="งบกระทบยอด"/>
      <sheetName val="แยกประเภท"/>
      <sheetName val="รายงานเงินสะสม"/>
      <sheetName val="ประกันสัญญา"/>
      <sheetName val="2560"/>
      <sheetName val="LAAS"/>
      <sheetName val="รายรับ จ่าย"/>
      <sheetName val="งบต้นปี"/>
    </sheetNames>
    <sheetDataSet>
      <sheetData sheetId="0">
        <row r="3">
          <cell r="A3" t="str">
            <v>ณ  วันที่  30 กันยายน  2560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aas.go.th/default.aspx?report_group=Account&amp;report_name=A_BalanceSheet_Remark2&amp;control=report&amp;menu=77579C6C-49E1-4820-B9EA-3AD8526A6EF0&amp;parameters=SITE_ID:2719CFFE-2173-4F1E-93DC-D5351115CFC9;BUDGET_YEAR:2560;PERIOD_NO:12" TargetMode="External" /><Relationship Id="rId2" Type="http://schemas.openxmlformats.org/officeDocument/2006/relationships/hyperlink" Target="http://www.laas.go.th/default.aspx?report_group=Account&amp;report_name=A_Report_AccruedExpense&amp;control=report&amp;menu=77579C6C-49E1-4820-B9EA-3AD8526A6EF0&amp;parameters=SITE_ID:2719CFFE-2173-4F1E-93DC-D5351115CFC9;BUDGET_YEAR:2560;PERIOD_START:1;PERIOD_END:12" TargetMode="External" /><Relationship Id="rId3" Type="http://schemas.openxmlformats.org/officeDocument/2006/relationships/hyperlink" Target="http://www.laas.go.th/default.aspx?report_group=Account&amp;report_name=A_BalanceSheet_Remark4&amp;control=report&amp;menu=77579C6C-49E1-4820-B9EA-3AD8526A6EF0&amp;parameters=SITE_ID:2719CFFE-2173-4F1E-93DC-D5351115CFC9;BUDGET_YEAR:2560;PERIOD_NO:12;REPORT_ID:BS100;VN:;AN:www.laas.go.th;m:77579C6C-49E1-4820-B9EA-3AD8526A6EF0" TargetMode="External" /><Relationship Id="rId4" Type="http://schemas.openxmlformats.org/officeDocument/2006/relationships/hyperlink" Target="http://www.laas.go.th/default.aspx?report_group=Account&amp;report_name=A_CapitalReport&amp;control=report&amp;menu=77579C6C-49E1-4820-B9EA-3AD8526A6EF0&amp;parameters=SITE_ID:2719CFFE-2173-4F1E-93DC-D5351115CFC9;BUDGET_YEAR:2560;PERIOD_NO:12;VN:;AN:www.laas.go.th;m:77579C6C-49E1-4820-B9EA-3AD8526A6EF0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90" zoomScaleSheetLayoutView="90" zoomScalePageLayoutView="0" workbookViewId="0" topLeftCell="A7">
      <selection activeCell="E16" sqref="E16"/>
    </sheetView>
  </sheetViews>
  <sheetFormatPr defaultColWidth="8.140625" defaultRowHeight="18.75" customHeight="1"/>
  <cols>
    <col min="1" max="1" width="24.7109375" style="2" customWidth="1"/>
    <col min="2" max="2" width="21.7109375" style="2" customWidth="1"/>
    <col min="3" max="3" width="7.8515625" style="1" customWidth="1"/>
    <col min="4" max="4" width="21.28125" style="127" customWidth="1"/>
    <col min="5" max="5" width="17.421875" style="127" customWidth="1"/>
    <col min="6" max="16384" width="8.140625" style="1" customWidth="1"/>
  </cols>
  <sheetData>
    <row r="1" spans="1:5" ht="18.75" customHeight="1">
      <c r="A1" s="611" t="s">
        <v>166</v>
      </c>
      <c r="B1" s="611"/>
      <c r="C1" s="611"/>
      <c r="D1" s="611"/>
      <c r="E1" s="611"/>
    </row>
    <row r="2" spans="1:5" ht="18.75" customHeight="1">
      <c r="A2" s="611" t="s">
        <v>0</v>
      </c>
      <c r="B2" s="611"/>
      <c r="C2" s="611"/>
      <c r="D2" s="611"/>
      <c r="E2" s="611"/>
    </row>
    <row r="3" spans="1:5" ht="18.75" customHeight="1">
      <c r="A3" s="612" t="s">
        <v>340</v>
      </c>
      <c r="B3" s="612"/>
      <c r="C3" s="612"/>
      <c r="D3" s="612"/>
      <c r="E3" s="612"/>
    </row>
    <row r="4" spans="1:5" ht="18.75" customHeight="1">
      <c r="A4" s="613" t="s">
        <v>13</v>
      </c>
      <c r="B4" s="614"/>
      <c r="C4" s="6" t="s">
        <v>122</v>
      </c>
      <c r="D4" s="213" t="s">
        <v>14</v>
      </c>
      <c r="E4" s="213" t="s">
        <v>15</v>
      </c>
    </row>
    <row r="5" spans="1:5" s="215" customFormat="1" ht="18" customHeight="1">
      <c r="A5" s="615" t="s">
        <v>341</v>
      </c>
      <c r="B5" s="616"/>
      <c r="C5" s="214" t="s">
        <v>236</v>
      </c>
      <c r="D5" s="150">
        <v>221450.65</v>
      </c>
      <c r="E5" s="150"/>
    </row>
    <row r="6" spans="1:5" s="215" customFormat="1" ht="18" customHeight="1">
      <c r="A6" s="216" t="s">
        <v>208</v>
      </c>
      <c r="B6" s="217"/>
      <c r="C6" s="214" t="s">
        <v>236</v>
      </c>
      <c r="D6" s="150">
        <v>9267567.75</v>
      </c>
      <c r="E6" s="150"/>
    </row>
    <row r="7" spans="1:5" s="215" customFormat="1" ht="18" customHeight="1">
      <c r="A7" s="216" t="s">
        <v>342</v>
      </c>
      <c r="B7" s="217"/>
      <c r="C7" s="214" t="s">
        <v>238</v>
      </c>
      <c r="D7" s="150">
        <v>65369097.29</v>
      </c>
      <c r="E7" s="150"/>
    </row>
    <row r="8" spans="1:5" s="215" customFormat="1" ht="18" customHeight="1">
      <c r="A8" s="218" t="s">
        <v>36</v>
      </c>
      <c r="B8" s="219"/>
      <c r="C8" s="214" t="s">
        <v>94</v>
      </c>
      <c r="D8" s="150">
        <v>429111.25</v>
      </c>
      <c r="E8" s="220"/>
    </row>
    <row r="9" spans="1:5" s="215" customFormat="1" ht="18" customHeight="1">
      <c r="A9" s="218" t="s">
        <v>179</v>
      </c>
      <c r="B9" s="219"/>
      <c r="C9" s="214" t="s">
        <v>243</v>
      </c>
      <c r="D9" s="150">
        <f>75870+27250</f>
        <v>103120</v>
      </c>
      <c r="E9" s="220"/>
    </row>
    <row r="10" spans="1:5" s="215" customFormat="1" ht="18" customHeight="1">
      <c r="A10" s="218" t="s">
        <v>180</v>
      </c>
      <c r="B10" s="219"/>
      <c r="C10" s="214" t="s">
        <v>245</v>
      </c>
      <c r="D10" s="150">
        <f>4886.99+9173.23</f>
        <v>14060.22</v>
      </c>
      <c r="E10" s="220"/>
    </row>
    <row r="11" spans="1:5" s="215" customFormat="1" ht="18" customHeight="1" hidden="1">
      <c r="A11" s="218" t="s">
        <v>181</v>
      </c>
      <c r="B11" s="219"/>
      <c r="C11" s="214" t="s">
        <v>245</v>
      </c>
      <c r="D11" s="150"/>
      <c r="E11" s="220"/>
    </row>
    <row r="12" spans="1:5" s="215" customFormat="1" ht="18" customHeight="1" hidden="1">
      <c r="A12" s="218" t="s">
        <v>343</v>
      </c>
      <c r="B12" s="219"/>
      <c r="C12" s="214" t="s">
        <v>344</v>
      </c>
      <c r="D12" s="150">
        <v>0</v>
      </c>
      <c r="E12" s="220"/>
    </row>
    <row r="13" spans="1:5" s="215" customFormat="1" ht="18" customHeight="1">
      <c r="A13" s="218" t="s">
        <v>17</v>
      </c>
      <c r="B13" s="219"/>
      <c r="C13" s="214" t="s">
        <v>132</v>
      </c>
      <c r="D13" s="150">
        <v>8627459</v>
      </c>
      <c r="E13" s="221"/>
    </row>
    <row r="14" spans="1:5" s="215" customFormat="1" ht="18" customHeight="1">
      <c r="A14" s="218" t="s">
        <v>246</v>
      </c>
      <c r="B14" s="219"/>
      <c r="C14" s="214" t="s">
        <v>247</v>
      </c>
      <c r="D14" s="150">
        <v>137792.91</v>
      </c>
      <c r="E14" s="221"/>
    </row>
    <row r="15" spans="1:5" s="215" customFormat="1" ht="18" customHeight="1">
      <c r="A15" s="218" t="s">
        <v>248</v>
      </c>
      <c r="B15" s="219"/>
      <c r="C15" s="214" t="s">
        <v>147</v>
      </c>
      <c r="D15" s="150">
        <v>1783800</v>
      </c>
      <c r="E15" s="221"/>
    </row>
    <row r="16" spans="1:5" s="215" customFormat="1" ht="18" customHeight="1">
      <c r="A16" s="218" t="s">
        <v>249</v>
      </c>
      <c r="B16" s="219"/>
      <c r="C16" s="214" t="s">
        <v>149</v>
      </c>
      <c r="D16" s="150">
        <v>15000295</v>
      </c>
      <c r="E16" s="221"/>
    </row>
    <row r="17" spans="1:5" s="215" customFormat="1" ht="18" customHeight="1">
      <c r="A17" s="218" t="s">
        <v>18</v>
      </c>
      <c r="B17" s="219"/>
      <c r="C17" s="214" t="s">
        <v>2</v>
      </c>
      <c r="D17" s="150">
        <v>2215390</v>
      </c>
      <c r="E17" s="221"/>
    </row>
    <row r="18" spans="1:5" s="215" customFormat="1" ht="18" customHeight="1">
      <c r="A18" s="218" t="s">
        <v>19</v>
      </c>
      <c r="B18" s="219"/>
      <c r="C18" s="214" t="s">
        <v>3</v>
      </c>
      <c r="D18" s="150">
        <v>6365865.4</v>
      </c>
      <c r="E18" s="221"/>
    </row>
    <row r="19" spans="1:5" s="215" customFormat="1" ht="18" customHeight="1">
      <c r="A19" s="218" t="s">
        <v>20</v>
      </c>
      <c r="B19" s="219"/>
      <c r="C19" s="214" t="s">
        <v>4</v>
      </c>
      <c r="D19" s="150">
        <v>6339821.47</v>
      </c>
      <c r="E19" s="221"/>
    </row>
    <row r="20" spans="1:5" s="215" customFormat="1" ht="18" customHeight="1">
      <c r="A20" s="218" t="s">
        <v>21</v>
      </c>
      <c r="B20" s="219"/>
      <c r="C20" s="214" t="s">
        <v>5</v>
      </c>
      <c r="D20" s="150">
        <v>1107921.7</v>
      </c>
      <c r="E20" s="221"/>
    </row>
    <row r="21" spans="1:5" s="215" customFormat="1" ht="18" customHeight="1">
      <c r="A21" s="218" t="s">
        <v>22</v>
      </c>
      <c r="B21" s="219"/>
      <c r="C21" s="214" t="s">
        <v>7</v>
      </c>
      <c r="D21" s="150">
        <v>6970649.36</v>
      </c>
      <c r="E21" s="221"/>
    </row>
    <row r="22" spans="1:5" s="215" customFormat="1" ht="18" customHeight="1">
      <c r="A22" s="218" t="s">
        <v>23</v>
      </c>
      <c r="B22" s="219"/>
      <c r="C22" s="214" t="s">
        <v>8</v>
      </c>
      <c r="D22" s="150">
        <v>7964022.98</v>
      </c>
      <c r="E22" s="221"/>
    </row>
    <row r="23" spans="1:5" s="215" customFormat="1" ht="18" customHeight="1">
      <c r="A23" s="218" t="s">
        <v>24</v>
      </c>
      <c r="B23" s="219"/>
      <c r="C23" s="214" t="s">
        <v>133</v>
      </c>
      <c r="D23" s="150">
        <v>20000</v>
      </c>
      <c r="E23" s="221"/>
    </row>
    <row r="24" spans="1:5" s="215" customFormat="1" ht="18" customHeight="1">
      <c r="A24" s="218" t="s">
        <v>250</v>
      </c>
      <c r="B24" s="219"/>
      <c r="C24" s="214" t="s">
        <v>6</v>
      </c>
      <c r="D24" s="150">
        <v>8245023.86</v>
      </c>
      <c r="E24" s="221"/>
    </row>
    <row r="25" spans="1:5" s="215" customFormat="1" ht="18" customHeight="1" hidden="1">
      <c r="A25" s="218" t="s">
        <v>345</v>
      </c>
      <c r="B25" s="219"/>
      <c r="C25" s="214" t="s">
        <v>346</v>
      </c>
      <c r="D25" s="150">
        <v>0</v>
      </c>
      <c r="E25" s="221"/>
    </row>
    <row r="26" spans="1:5" s="215" customFormat="1" ht="18" customHeight="1" hidden="1">
      <c r="A26" s="218" t="s">
        <v>25</v>
      </c>
      <c r="B26" s="219"/>
      <c r="C26" s="214" t="s">
        <v>347</v>
      </c>
      <c r="D26" s="150">
        <v>0</v>
      </c>
      <c r="E26" s="221"/>
    </row>
    <row r="27" spans="1:5" s="215" customFormat="1" ht="18" customHeight="1">
      <c r="A27" s="218" t="s">
        <v>348</v>
      </c>
      <c r="B27" s="219"/>
      <c r="C27" s="214" t="s">
        <v>12</v>
      </c>
      <c r="D27" s="150">
        <v>341190</v>
      </c>
      <c r="E27" s="221"/>
    </row>
    <row r="28" spans="1:5" s="215" customFormat="1" ht="18" customHeight="1">
      <c r="A28" s="218" t="s">
        <v>349</v>
      </c>
      <c r="B28" s="219"/>
      <c r="C28" s="214" t="s">
        <v>12</v>
      </c>
      <c r="D28" s="150">
        <v>8400</v>
      </c>
      <c r="E28" s="221"/>
    </row>
    <row r="29" spans="1:5" s="215" customFormat="1" ht="18" customHeight="1">
      <c r="A29" s="218" t="s">
        <v>350</v>
      </c>
      <c r="B29" s="219"/>
      <c r="C29" s="214" t="s">
        <v>12</v>
      </c>
      <c r="D29" s="150">
        <v>42000</v>
      </c>
      <c r="E29" s="221"/>
    </row>
    <row r="30" spans="1:5" s="215" customFormat="1" ht="18" customHeight="1">
      <c r="A30" s="218" t="s">
        <v>351</v>
      </c>
      <c r="B30" s="219"/>
      <c r="C30" s="214" t="s">
        <v>12</v>
      </c>
      <c r="D30" s="150">
        <v>17059.5</v>
      </c>
      <c r="E30" s="221"/>
    </row>
    <row r="31" spans="1:5" s="215" customFormat="1" ht="18" customHeight="1">
      <c r="A31" s="218" t="s">
        <v>352</v>
      </c>
      <c r="B31" s="219"/>
      <c r="C31" s="214" t="s">
        <v>12</v>
      </c>
      <c r="D31" s="150">
        <v>18000</v>
      </c>
      <c r="E31" s="221"/>
    </row>
    <row r="32" spans="1:5" s="215" customFormat="1" ht="18" customHeight="1">
      <c r="A32" s="218" t="s">
        <v>353</v>
      </c>
      <c r="B32" s="219"/>
      <c r="C32" s="214" t="s">
        <v>12</v>
      </c>
      <c r="D32" s="150">
        <v>60401</v>
      </c>
      <c r="E32" s="150"/>
    </row>
    <row r="33" spans="1:5" s="215" customFormat="1" ht="18" customHeight="1">
      <c r="A33" s="222" t="s">
        <v>354</v>
      </c>
      <c r="B33" s="219"/>
      <c r="C33" s="214" t="s">
        <v>355</v>
      </c>
      <c r="D33" s="150"/>
      <c r="E33" s="150">
        <f>82317602.36+85043.23</f>
        <v>82402645.59</v>
      </c>
    </row>
    <row r="34" spans="1:5" s="215" customFormat="1" ht="18" customHeight="1">
      <c r="A34" s="222" t="s">
        <v>547</v>
      </c>
      <c r="B34" s="219"/>
      <c r="C34" s="214" t="s">
        <v>359</v>
      </c>
      <c r="D34" s="150"/>
      <c r="E34" s="150">
        <v>13204828.52</v>
      </c>
    </row>
    <row r="35" spans="1:5" s="215" customFormat="1" ht="18" customHeight="1">
      <c r="A35" s="222" t="s">
        <v>548</v>
      </c>
      <c r="B35" s="219"/>
      <c r="C35" s="214" t="s">
        <v>356</v>
      </c>
      <c r="D35" s="150"/>
      <c r="E35" s="150">
        <v>2129401.84</v>
      </c>
    </row>
    <row r="36" spans="1:5" s="215" customFormat="1" ht="18" customHeight="1">
      <c r="A36" s="218" t="s">
        <v>357</v>
      </c>
      <c r="B36" s="219"/>
      <c r="C36" s="214" t="s">
        <v>358</v>
      </c>
      <c r="D36" s="150"/>
      <c r="E36" s="150">
        <v>17549</v>
      </c>
    </row>
    <row r="37" spans="1:5" s="215" customFormat="1" ht="18" customHeight="1" hidden="1">
      <c r="A37" s="218" t="s">
        <v>360</v>
      </c>
      <c r="B37" s="219"/>
      <c r="C37" s="214" t="s">
        <v>359</v>
      </c>
      <c r="D37" s="150"/>
      <c r="E37" s="150">
        <v>0</v>
      </c>
    </row>
    <row r="38" spans="1:5" s="215" customFormat="1" ht="18" customHeight="1">
      <c r="A38" s="218" t="s">
        <v>118</v>
      </c>
      <c r="B38" s="219"/>
      <c r="C38" s="214" t="s">
        <v>150</v>
      </c>
      <c r="D38" s="150"/>
      <c r="E38" s="150">
        <v>20662511.08</v>
      </c>
    </row>
    <row r="39" spans="1:5" s="215" customFormat="1" ht="18" customHeight="1">
      <c r="A39" s="223" t="s">
        <v>139</v>
      </c>
      <c r="B39" s="224"/>
      <c r="C39" s="225" t="s">
        <v>9</v>
      </c>
      <c r="D39" s="226"/>
      <c r="E39" s="227">
        <v>22252563.31</v>
      </c>
    </row>
    <row r="40" spans="1:5" s="215" customFormat="1" ht="18" customHeight="1" thickBot="1">
      <c r="A40" s="617" t="s">
        <v>117</v>
      </c>
      <c r="B40" s="618"/>
      <c r="C40" s="228">
        <f>+D40-E40</f>
        <v>0</v>
      </c>
      <c r="D40" s="229">
        <f>SUM(D4:D39)</f>
        <v>140669499.34</v>
      </c>
      <c r="E40" s="230">
        <f>SUM(E33:E39)</f>
        <v>140669499.34</v>
      </c>
    </row>
    <row r="41" ht="18.75" customHeight="1" thickTop="1"/>
    <row r="42" spans="1:5" s="232" customFormat="1" ht="18" customHeight="1">
      <c r="A42" s="610" t="s">
        <v>190</v>
      </c>
      <c r="B42" s="610"/>
      <c r="C42" s="231"/>
      <c r="D42" s="610" t="s">
        <v>191</v>
      </c>
      <c r="E42" s="610"/>
    </row>
    <row r="43" spans="1:5" s="215" customFormat="1" ht="18" customHeight="1">
      <c r="A43" s="233"/>
      <c r="B43" s="234"/>
      <c r="C43" s="235"/>
      <c r="E43" s="233"/>
    </row>
    <row r="44" spans="1:5" s="235" customFormat="1" ht="18" customHeight="1">
      <c r="A44" s="619" t="s">
        <v>361</v>
      </c>
      <c r="B44" s="619"/>
      <c r="C44" s="233"/>
      <c r="D44" s="619" t="s">
        <v>194</v>
      </c>
      <c r="E44" s="619"/>
    </row>
    <row r="45" spans="1:5" s="235" customFormat="1" ht="18" customHeight="1">
      <c r="A45" s="619" t="s">
        <v>195</v>
      </c>
      <c r="B45" s="619"/>
      <c r="C45" s="233"/>
      <c r="D45" s="619" t="s">
        <v>197</v>
      </c>
      <c r="E45" s="619"/>
    </row>
    <row r="46" spans="1:5" s="235" customFormat="1" ht="18" customHeight="1">
      <c r="A46" s="126"/>
      <c r="B46" s="126"/>
      <c r="C46" s="126"/>
      <c r="D46" s="126"/>
      <c r="E46" s="126"/>
    </row>
    <row r="47" spans="1:5" s="236" customFormat="1" ht="18" customHeight="1">
      <c r="A47" s="621" t="s">
        <v>198</v>
      </c>
      <c r="B47" s="621"/>
      <c r="D47" s="621" t="s">
        <v>198</v>
      </c>
      <c r="E47" s="621"/>
    </row>
    <row r="48" spans="1:5" s="215" customFormat="1" ht="18" customHeight="1">
      <c r="A48" s="127"/>
      <c r="B48" s="127"/>
      <c r="D48" s="127"/>
      <c r="E48" s="127"/>
    </row>
    <row r="49" spans="1:5" s="215" customFormat="1" ht="18" customHeight="1">
      <c r="A49" s="620" t="s">
        <v>199</v>
      </c>
      <c r="B49" s="620"/>
      <c r="D49" s="620" t="s">
        <v>200</v>
      </c>
      <c r="E49" s="620"/>
    </row>
    <row r="50" spans="1:5" s="215" customFormat="1" ht="18" customHeight="1">
      <c r="A50" s="620" t="s">
        <v>201</v>
      </c>
      <c r="B50" s="620"/>
      <c r="D50" s="620" t="s">
        <v>202</v>
      </c>
      <c r="E50" s="620"/>
    </row>
  </sheetData>
  <sheetProtection/>
  <mergeCells count="18">
    <mergeCell ref="A44:B44"/>
    <mergeCell ref="D44:E44"/>
    <mergeCell ref="A50:B50"/>
    <mergeCell ref="D50:E50"/>
    <mergeCell ref="A45:B45"/>
    <mergeCell ref="D45:E45"/>
    <mergeCell ref="A47:B47"/>
    <mergeCell ref="D47:E47"/>
    <mergeCell ref="A49:B49"/>
    <mergeCell ref="D49:E49"/>
    <mergeCell ref="A42:B42"/>
    <mergeCell ref="D42:E42"/>
    <mergeCell ref="A1:E1"/>
    <mergeCell ref="A2:E2"/>
    <mergeCell ref="A3:E3"/>
    <mergeCell ref="A4:B4"/>
    <mergeCell ref="A5:B5"/>
    <mergeCell ref="A40:B40"/>
  </mergeCells>
  <printOptions/>
  <pageMargins left="0.84" right="0.27" top="0.17" bottom="0.22" header="0.17" footer="0.17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J30"/>
  <sheetViews>
    <sheetView view="pageBreakPreview" zoomScale="90" zoomScaleSheetLayoutView="90" zoomScalePageLayoutView="0" workbookViewId="0" topLeftCell="A1">
      <selection activeCell="A2" sqref="A2:J2"/>
    </sheetView>
  </sheetViews>
  <sheetFormatPr defaultColWidth="9.140625" defaultRowHeight="24.75" customHeight="1"/>
  <cols>
    <col min="1" max="9" width="9.140625" style="25" customWidth="1"/>
    <col min="10" max="10" width="12.7109375" style="25" customWidth="1"/>
    <col min="11" max="16384" width="9.140625" style="25" customWidth="1"/>
  </cols>
  <sheetData>
    <row r="1" ht="18" customHeight="1"/>
    <row r="2" spans="1:10" ht="27.75" customHeight="1">
      <c r="A2" s="611" t="s">
        <v>168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0" ht="24.75" customHeight="1">
      <c r="A3" s="611" t="s">
        <v>58</v>
      </c>
      <c r="B3" s="611"/>
      <c r="C3" s="611"/>
      <c r="D3" s="611"/>
      <c r="E3" s="611"/>
      <c r="F3" s="611"/>
      <c r="G3" s="611"/>
      <c r="H3" s="611"/>
      <c r="I3" s="611"/>
      <c r="J3" s="611"/>
    </row>
    <row r="4" spans="1:10" ht="24.75" customHeight="1">
      <c r="A4" s="611" t="s">
        <v>545</v>
      </c>
      <c r="B4" s="611"/>
      <c r="C4" s="611"/>
      <c r="D4" s="611"/>
      <c r="E4" s="611"/>
      <c r="F4" s="611"/>
      <c r="G4" s="611"/>
      <c r="H4" s="611"/>
      <c r="I4" s="611"/>
      <c r="J4" s="611"/>
    </row>
    <row r="6" ht="24.75" customHeight="1">
      <c r="A6" s="4" t="s">
        <v>59</v>
      </c>
    </row>
    <row r="7" ht="24.75" customHeight="1">
      <c r="A7" s="25" t="s">
        <v>60</v>
      </c>
    </row>
    <row r="8" ht="24.75" customHeight="1">
      <c r="A8" s="25" t="s">
        <v>189</v>
      </c>
    </row>
    <row r="9" ht="24.75" customHeight="1">
      <c r="A9" s="25" t="s">
        <v>182</v>
      </c>
    </row>
    <row r="10" ht="24.75" customHeight="1">
      <c r="A10" s="25" t="s">
        <v>183</v>
      </c>
    </row>
    <row r="11" ht="24.75" customHeight="1">
      <c r="A11" s="25" t="s">
        <v>187</v>
      </c>
    </row>
    <row r="12" ht="24.75" customHeight="1">
      <c r="A12" s="25" t="s">
        <v>188</v>
      </c>
    </row>
    <row r="13" spans="1:2" ht="24.75" customHeight="1">
      <c r="A13" s="123" t="s">
        <v>184</v>
      </c>
      <c r="B13" s="122"/>
    </row>
    <row r="14" spans="1:2" ht="24.75" customHeight="1">
      <c r="A14" s="123" t="s">
        <v>185</v>
      </c>
      <c r="B14" s="122"/>
    </row>
    <row r="15" ht="24.75" customHeight="1">
      <c r="A15" s="25" t="s">
        <v>186</v>
      </c>
    </row>
    <row r="16" ht="24.75" customHeight="1">
      <c r="A16" s="25" t="s">
        <v>472</v>
      </c>
    </row>
    <row r="18" ht="12.75" customHeight="1"/>
    <row r="19" ht="24.75" customHeight="1">
      <c r="A19" s="4" t="s">
        <v>61</v>
      </c>
    </row>
    <row r="20" ht="24.75" customHeight="1">
      <c r="B20" s="25" t="s">
        <v>62</v>
      </c>
    </row>
    <row r="21" ht="24.75" customHeight="1">
      <c r="B21" s="25" t="s">
        <v>63</v>
      </c>
    </row>
    <row r="22" ht="24.75" customHeight="1">
      <c r="A22" s="25" t="s">
        <v>64</v>
      </c>
    </row>
    <row r="23" ht="24.75" customHeight="1">
      <c r="A23" s="25" t="s">
        <v>172</v>
      </c>
    </row>
    <row r="24" ht="24.75" customHeight="1">
      <c r="B24" s="25" t="s">
        <v>65</v>
      </c>
    </row>
    <row r="25" spans="1:2" ht="24.75" customHeight="1">
      <c r="A25" s="121"/>
      <c r="B25" s="25" t="s">
        <v>515</v>
      </c>
    </row>
    <row r="26" ht="24.75" customHeight="1">
      <c r="B26" s="25" t="s">
        <v>516</v>
      </c>
    </row>
    <row r="27" ht="24.75" customHeight="1">
      <c r="B27" s="25" t="s">
        <v>517</v>
      </c>
    </row>
    <row r="29" ht="21.75" customHeight="1">
      <c r="D29" s="73"/>
    </row>
    <row r="30" ht="21" customHeight="1">
      <c r="D30" s="73"/>
    </row>
  </sheetData>
  <sheetProtection/>
  <mergeCells count="3">
    <mergeCell ref="A2:J2"/>
    <mergeCell ref="A3:J3"/>
    <mergeCell ref="A4:J4"/>
  </mergeCells>
  <printOptions/>
  <pageMargins left="0.73" right="0.19" top="0.3937007874015748" bottom="0.31496062992125984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2.75"/>
  <cols>
    <col min="1" max="1" width="3.28125" style="1" customWidth="1"/>
    <col min="2" max="2" width="25.28125" style="1" customWidth="1"/>
    <col min="3" max="3" width="14.8515625" style="1" customWidth="1"/>
    <col min="4" max="4" width="17.28125" style="1" customWidth="1"/>
    <col min="5" max="5" width="19.00390625" style="1" customWidth="1"/>
    <col min="6" max="6" width="17.28125" style="1" customWidth="1"/>
    <col min="7" max="16384" width="9.140625" style="1" customWidth="1"/>
  </cols>
  <sheetData>
    <row r="1" spans="2:6" s="67" customFormat="1" ht="19.5" customHeight="1">
      <c r="B1" s="660" t="s">
        <v>167</v>
      </c>
      <c r="C1" s="660"/>
      <c r="D1" s="660"/>
      <c r="E1" s="660"/>
      <c r="F1" s="660"/>
    </row>
    <row r="2" spans="2:6" s="67" customFormat="1" ht="19.5" customHeight="1">
      <c r="B2" s="660" t="s">
        <v>58</v>
      </c>
      <c r="C2" s="660"/>
      <c r="D2" s="660"/>
      <c r="E2" s="660"/>
      <c r="F2" s="660"/>
    </row>
    <row r="3" spans="2:6" s="67" customFormat="1" ht="19.5" customHeight="1">
      <c r="B3" s="660" t="s">
        <v>545</v>
      </c>
      <c r="C3" s="660"/>
      <c r="D3" s="660"/>
      <c r="E3" s="660"/>
      <c r="F3" s="660"/>
    </row>
    <row r="4" spans="2:6" s="67" customFormat="1" ht="19.5" customHeight="1">
      <c r="B4" s="90" t="s">
        <v>207</v>
      </c>
      <c r="C4" s="89"/>
      <c r="D4" s="89"/>
      <c r="E4" s="89"/>
      <c r="F4" s="89"/>
    </row>
    <row r="5" spans="2:6" s="89" customFormat="1" ht="19.5" customHeight="1">
      <c r="B5" s="661" t="s">
        <v>96</v>
      </c>
      <c r="C5" s="662"/>
      <c r="D5" s="665" t="s">
        <v>66</v>
      </c>
      <c r="E5" s="667" t="s">
        <v>67</v>
      </c>
      <c r="F5" s="668"/>
    </row>
    <row r="6" spans="2:6" s="89" customFormat="1" ht="21.75" customHeight="1">
      <c r="B6" s="663"/>
      <c r="C6" s="664"/>
      <c r="D6" s="666"/>
      <c r="E6" s="91" t="s">
        <v>68</v>
      </c>
      <c r="F6" s="91" t="s">
        <v>113</v>
      </c>
    </row>
    <row r="7" spans="2:6" s="63" customFormat="1" ht="19.5" customHeight="1">
      <c r="B7" s="92" t="s">
        <v>97</v>
      </c>
      <c r="C7" s="93"/>
      <c r="D7" s="94"/>
      <c r="E7" s="94"/>
      <c r="F7" s="94"/>
    </row>
    <row r="8" spans="2:6" s="63" customFormat="1" ht="19.5" customHeight="1">
      <c r="B8" s="95" t="s">
        <v>98</v>
      </c>
      <c r="C8" s="62"/>
      <c r="D8" s="65">
        <v>0</v>
      </c>
      <c r="E8" s="65" t="s">
        <v>131</v>
      </c>
      <c r="F8" s="65">
        <v>0</v>
      </c>
    </row>
    <row r="9" spans="2:6" s="63" customFormat="1" ht="19.5" customHeight="1">
      <c r="B9" s="95" t="s">
        <v>99</v>
      </c>
      <c r="C9" s="62"/>
      <c r="D9" s="65">
        <v>0</v>
      </c>
      <c r="E9" s="65" t="s">
        <v>118</v>
      </c>
      <c r="F9" s="65">
        <v>0</v>
      </c>
    </row>
    <row r="10" spans="2:6" s="63" customFormat="1" ht="19.5" customHeight="1">
      <c r="B10" s="95" t="s">
        <v>175</v>
      </c>
      <c r="C10" s="62"/>
      <c r="D10" s="65"/>
      <c r="E10" s="65" t="s">
        <v>139</v>
      </c>
      <c r="F10" s="65">
        <v>0</v>
      </c>
    </row>
    <row r="11" spans="2:6" s="63" customFormat="1" ht="19.5" customHeight="1">
      <c r="B11" s="95"/>
      <c r="C11" s="62"/>
      <c r="D11" s="65"/>
      <c r="E11" s="65" t="s">
        <v>173</v>
      </c>
      <c r="F11" s="65"/>
    </row>
    <row r="12" spans="2:6" s="63" customFormat="1" ht="19.5" customHeight="1">
      <c r="B12" s="95"/>
      <c r="C12" s="62"/>
      <c r="D12" s="65"/>
      <c r="E12" s="65"/>
      <c r="F12" s="65"/>
    </row>
    <row r="13" spans="2:6" s="63" customFormat="1" ht="19.5" customHeight="1">
      <c r="B13" s="95"/>
      <c r="C13" s="62"/>
      <c r="D13" s="65"/>
      <c r="E13" s="65"/>
      <c r="F13" s="65"/>
    </row>
    <row r="14" spans="2:6" s="63" customFormat="1" ht="19.5" customHeight="1">
      <c r="B14" s="96" t="s">
        <v>100</v>
      </c>
      <c r="C14" s="62"/>
      <c r="D14" s="65"/>
      <c r="E14" s="65"/>
      <c r="F14" s="65"/>
    </row>
    <row r="15" spans="2:6" s="63" customFormat="1" ht="19.5" customHeight="1">
      <c r="B15" s="95" t="s">
        <v>101</v>
      </c>
      <c r="C15" s="62"/>
      <c r="D15" s="65">
        <v>0</v>
      </c>
      <c r="E15" s="65"/>
      <c r="F15" s="65"/>
    </row>
    <row r="16" spans="2:6" s="63" customFormat="1" ht="19.5" customHeight="1">
      <c r="B16" s="95" t="s">
        <v>102</v>
      </c>
      <c r="C16" s="62"/>
      <c r="D16" s="65">
        <v>0</v>
      </c>
      <c r="E16" s="65"/>
      <c r="F16" s="65"/>
    </row>
    <row r="17" spans="2:6" s="63" customFormat="1" ht="19.5" customHeight="1">
      <c r="B17" s="95" t="s">
        <v>103</v>
      </c>
      <c r="C17" s="62"/>
      <c r="D17" s="65">
        <v>0</v>
      </c>
      <c r="E17" s="65"/>
      <c r="F17" s="65"/>
    </row>
    <row r="18" spans="2:6" s="63" customFormat="1" ht="19.5" customHeight="1">
      <c r="B18" s="95" t="s">
        <v>104</v>
      </c>
      <c r="C18" s="62"/>
      <c r="D18" s="65">
        <v>0</v>
      </c>
      <c r="E18" s="65"/>
      <c r="F18" s="65"/>
    </row>
    <row r="19" spans="2:6" s="63" customFormat="1" ht="19.5" customHeight="1">
      <c r="B19" s="95" t="s">
        <v>105</v>
      </c>
      <c r="C19" s="62"/>
      <c r="D19" s="65">
        <v>0</v>
      </c>
      <c r="E19" s="65"/>
      <c r="F19" s="65"/>
    </row>
    <row r="20" spans="2:6" s="63" customFormat="1" ht="19.5" customHeight="1">
      <c r="B20" s="95" t="s">
        <v>159</v>
      </c>
      <c r="C20" s="62"/>
      <c r="D20" s="65">
        <v>0</v>
      </c>
      <c r="E20" s="65"/>
      <c r="F20" s="65"/>
    </row>
    <row r="21" spans="2:6" s="63" customFormat="1" ht="19.5" customHeight="1">
      <c r="B21" s="95" t="s">
        <v>106</v>
      </c>
      <c r="C21" s="62"/>
      <c r="D21" s="65">
        <v>0</v>
      </c>
      <c r="E21" s="65"/>
      <c r="F21" s="65"/>
    </row>
    <row r="22" spans="2:6" s="63" customFormat="1" ht="19.5" customHeight="1">
      <c r="B22" s="95" t="s">
        <v>107</v>
      </c>
      <c r="C22" s="62"/>
      <c r="D22" s="65">
        <v>0</v>
      </c>
      <c r="E22" s="65"/>
      <c r="F22" s="65"/>
    </row>
    <row r="23" spans="2:6" s="63" customFormat="1" ht="19.5" customHeight="1">
      <c r="B23" s="95" t="s">
        <v>108</v>
      </c>
      <c r="C23" s="62"/>
      <c r="D23" s="65">
        <v>0</v>
      </c>
      <c r="E23" s="65"/>
      <c r="F23" s="65"/>
    </row>
    <row r="24" spans="2:6" s="63" customFormat="1" ht="19.5" customHeight="1">
      <c r="B24" s="95" t="s">
        <v>109</v>
      </c>
      <c r="C24" s="62"/>
      <c r="D24" s="65">
        <v>0</v>
      </c>
      <c r="E24" s="65"/>
      <c r="F24" s="65"/>
    </row>
    <row r="25" spans="2:6" s="63" customFormat="1" ht="19.5" customHeight="1">
      <c r="B25" s="95" t="s">
        <v>110</v>
      </c>
      <c r="C25" s="62"/>
      <c r="D25" s="65">
        <v>0</v>
      </c>
      <c r="E25" s="65"/>
      <c r="F25" s="65"/>
    </row>
    <row r="26" spans="2:6" s="63" customFormat="1" ht="19.5" customHeight="1">
      <c r="B26" s="95" t="s">
        <v>111</v>
      </c>
      <c r="C26" s="62"/>
      <c r="D26" s="65">
        <v>0</v>
      </c>
      <c r="E26" s="65"/>
      <c r="F26" s="65"/>
    </row>
    <row r="27" spans="2:6" s="63" customFormat="1" ht="19.5" customHeight="1">
      <c r="B27" s="95" t="s">
        <v>112</v>
      </c>
      <c r="C27" s="62"/>
      <c r="D27" s="65">
        <v>0</v>
      </c>
      <c r="E27" s="65"/>
      <c r="F27" s="65"/>
    </row>
    <row r="28" spans="2:6" s="63" customFormat="1" ht="19.5" customHeight="1">
      <c r="B28" s="95" t="s">
        <v>142</v>
      </c>
      <c r="C28" s="62"/>
      <c r="D28" s="65">
        <v>0</v>
      </c>
      <c r="E28" s="65"/>
      <c r="F28" s="65"/>
    </row>
    <row r="29" spans="2:6" s="63" customFormat="1" ht="19.5" customHeight="1">
      <c r="B29" s="95" t="s">
        <v>141</v>
      </c>
      <c r="C29" s="62"/>
      <c r="D29" s="65">
        <v>0</v>
      </c>
      <c r="E29" s="65"/>
      <c r="F29" s="65"/>
    </row>
    <row r="30" spans="2:6" s="67" customFormat="1" ht="19.5" customHeight="1" thickBot="1">
      <c r="B30" s="658" t="s">
        <v>117</v>
      </c>
      <c r="C30" s="659"/>
      <c r="D30" s="97">
        <f>SUM(D8:D29)</f>
        <v>0</v>
      </c>
      <c r="E30" s="98"/>
      <c r="F30" s="97">
        <f>SUM(F8:F29)</f>
        <v>0</v>
      </c>
    </row>
    <row r="31" spans="2:6" s="67" customFormat="1" ht="12" customHeight="1" thickTop="1">
      <c r="B31" s="99"/>
      <c r="C31" s="100"/>
      <c r="D31" s="101"/>
      <c r="E31" s="101"/>
      <c r="F31" s="101"/>
    </row>
    <row r="32" spans="2:6" s="63" customFormat="1" ht="21" customHeight="1">
      <c r="B32" s="69" t="s">
        <v>69</v>
      </c>
      <c r="C32" s="69"/>
      <c r="D32" s="66"/>
      <c r="E32" s="66"/>
      <c r="F32" s="66"/>
    </row>
    <row r="33" spans="2:6" s="63" customFormat="1" ht="19.5" customHeight="1">
      <c r="B33" s="69" t="s">
        <v>70</v>
      </c>
      <c r="C33" s="69"/>
      <c r="D33" s="66"/>
      <c r="E33" s="66"/>
      <c r="F33" s="66"/>
    </row>
    <row r="34" spans="2:6" s="63" customFormat="1" ht="19.5" customHeight="1">
      <c r="B34" s="69" t="s">
        <v>71</v>
      </c>
      <c r="C34" s="69"/>
      <c r="D34" s="66"/>
      <c r="E34" s="66"/>
      <c r="F34" s="66"/>
    </row>
    <row r="35" s="30" customFormat="1" ht="19.5" customHeight="1">
      <c r="C35" s="30" t="s">
        <v>158</v>
      </c>
    </row>
    <row r="36" spans="2:8" s="131" customFormat="1" ht="15.75" customHeight="1">
      <c r="B36" s="132" t="s">
        <v>190</v>
      </c>
      <c r="C36" s="656" t="s">
        <v>191</v>
      </c>
      <c r="D36" s="656"/>
      <c r="E36" s="656" t="s">
        <v>191</v>
      </c>
      <c r="F36" s="656"/>
      <c r="H36" s="132"/>
    </row>
    <row r="37" spans="2:8" s="60" customFormat="1" ht="21" customHeight="1">
      <c r="B37" s="133"/>
      <c r="D37" s="134"/>
      <c r="F37" s="135"/>
      <c r="H37" s="136"/>
    </row>
    <row r="38" spans="2:8" s="134" customFormat="1" ht="15.75" customHeight="1">
      <c r="B38" s="133" t="s">
        <v>205</v>
      </c>
      <c r="C38" s="657" t="s">
        <v>203</v>
      </c>
      <c r="D38" s="657"/>
      <c r="E38" s="657" t="s">
        <v>194</v>
      </c>
      <c r="F38" s="657"/>
      <c r="H38" s="133"/>
    </row>
    <row r="39" spans="2:8" s="134" customFormat="1" ht="15.75" customHeight="1">
      <c r="B39" s="133" t="s">
        <v>206</v>
      </c>
      <c r="C39" s="657" t="s">
        <v>204</v>
      </c>
      <c r="D39" s="657"/>
      <c r="E39" s="657" t="s">
        <v>197</v>
      </c>
      <c r="F39" s="657"/>
      <c r="H39" s="133"/>
    </row>
    <row r="40" spans="2:8" s="134" customFormat="1" ht="15.75" customHeight="1">
      <c r="B40" s="133"/>
      <c r="C40" s="133"/>
      <c r="D40" s="133"/>
      <c r="E40" s="133"/>
      <c r="F40" s="133"/>
      <c r="H40" s="133"/>
    </row>
    <row r="41" spans="2:8" s="137" customFormat="1" ht="15" customHeight="1">
      <c r="B41" s="654" t="s">
        <v>198</v>
      </c>
      <c r="C41" s="654"/>
      <c r="E41" s="654" t="s">
        <v>198</v>
      </c>
      <c r="F41" s="654"/>
      <c r="H41" s="138"/>
    </row>
    <row r="42" spans="1:8" s="60" customFormat="1" ht="21" customHeight="1">
      <c r="A42" s="139"/>
      <c r="B42" s="136"/>
      <c r="C42" s="134"/>
      <c r="F42" s="135"/>
      <c r="H42" s="136"/>
    </row>
    <row r="43" spans="2:8" s="60" customFormat="1" ht="15.75" customHeight="1">
      <c r="B43" s="655" t="s">
        <v>199</v>
      </c>
      <c r="C43" s="655"/>
      <c r="E43" s="655" t="s">
        <v>200</v>
      </c>
      <c r="F43" s="655"/>
      <c r="H43" s="136"/>
    </row>
    <row r="44" spans="2:8" s="60" customFormat="1" ht="15.75" customHeight="1">
      <c r="B44" s="655" t="s">
        <v>201</v>
      </c>
      <c r="C44" s="655"/>
      <c r="E44" s="655" t="s">
        <v>202</v>
      </c>
      <c r="F44" s="655"/>
      <c r="H44" s="13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9">
    <mergeCell ref="B30:C30"/>
    <mergeCell ref="B1:F1"/>
    <mergeCell ref="B2:F2"/>
    <mergeCell ref="B3:F3"/>
    <mergeCell ref="B5:C6"/>
    <mergeCell ref="D5:D6"/>
    <mergeCell ref="E5:F5"/>
    <mergeCell ref="C36:D36"/>
    <mergeCell ref="C38:D38"/>
    <mergeCell ref="C39:D39"/>
    <mergeCell ref="E36:F36"/>
    <mergeCell ref="E38:F38"/>
    <mergeCell ref="E39:F39"/>
    <mergeCell ref="B41:C41"/>
    <mergeCell ref="B43:C43"/>
    <mergeCell ref="B44:C44"/>
    <mergeCell ref="E41:F41"/>
    <mergeCell ref="E43:F43"/>
    <mergeCell ref="E44:F44"/>
  </mergeCells>
  <printOptions/>
  <pageMargins left="0.62" right="0.17" top="0.18" bottom="0.2" header="0.17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L61"/>
  <sheetViews>
    <sheetView view="pageBreakPreview" zoomScale="110" zoomScaleSheetLayoutView="110" zoomScalePageLayoutView="0" workbookViewId="0" topLeftCell="A23">
      <selection activeCell="F67" sqref="F67"/>
    </sheetView>
  </sheetViews>
  <sheetFormatPr defaultColWidth="9.140625" defaultRowHeight="24.75" customHeight="1"/>
  <cols>
    <col min="1" max="1" width="2.28125" style="25" customWidth="1"/>
    <col min="2" max="2" width="11.7109375" style="25" customWidth="1"/>
    <col min="3" max="3" width="14.57421875" style="25" customWidth="1"/>
    <col min="4" max="4" width="8.28125" style="25" customWidth="1"/>
    <col min="5" max="5" width="10.28125" style="25" customWidth="1"/>
    <col min="6" max="6" width="8.00390625" style="25" customWidth="1"/>
    <col min="7" max="7" width="12.8515625" style="368" customWidth="1"/>
    <col min="8" max="8" width="8.57421875" style="28" customWidth="1"/>
    <col min="9" max="9" width="17.421875" style="25" customWidth="1"/>
    <col min="10" max="10" width="12.7109375" style="25" customWidth="1"/>
    <col min="11" max="16384" width="9.140625" style="25" customWidth="1"/>
  </cols>
  <sheetData>
    <row r="1" spans="2:12" ht="23.25" customHeight="1">
      <c r="B1" s="611" t="s">
        <v>168</v>
      </c>
      <c r="C1" s="611"/>
      <c r="D1" s="611"/>
      <c r="E1" s="611"/>
      <c r="F1" s="611"/>
      <c r="G1" s="611"/>
      <c r="H1" s="611"/>
      <c r="I1" s="611"/>
      <c r="J1" s="27"/>
      <c r="K1" s="27"/>
      <c r="L1" s="27"/>
    </row>
    <row r="2" spans="2:12" ht="23.25" customHeight="1">
      <c r="B2" s="611" t="s">
        <v>58</v>
      </c>
      <c r="C2" s="611"/>
      <c r="D2" s="611"/>
      <c r="E2" s="611"/>
      <c r="F2" s="611"/>
      <c r="G2" s="611"/>
      <c r="H2" s="611"/>
      <c r="I2" s="611"/>
      <c r="J2" s="27"/>
      <c r="K2" s="27"/>
      <c r="L2" s="27"/>
    </row>
    <row r="3" spans="2:12" ht="23.25" customHeight="1">
      <c r="B3" s="611" t="s">
        <v>170</v>
      </c>
      <c r="C3" s="611"/>
      <c r="D3" s="611"/>
      <c r="E3" s="611"/>
      <c r="F3" s="611"/>
      <c r="G3" s="611"/>
      <c r="H3" s="611"/>
      <c r="I3" s="611"/>
      <c r="J3" s="27"/>
      <c r="K3" s="27"/>
      <c r="L3" s="27"/>
    </row>
    <row r="4" spans="2:8" ht="21" customHeight="1">
      <c r="B4" s="669" t="s">
        <v>72</v>
      </c>
      <c r="C4" s="669"/>
      <c r="D4" s="669"/>
      <c r="E4" s="669"/>
      <c r="F4" s="669"/>
      <c r="G4" s="669"/>
      <c r="H4" s="669"/>
    </row>
    <row r="5" spans="3:9" ht="21" customHeight="1">
      <c r="C5" s="25" t="s">
        <v>16</v>
      </c>
      <c r="I5" s="28">
        <v>0</v>
      </c>
    </row>
    <row r="6" spans="3:12" ht="21" customHeight="1">
      <c r="C6" s="25" t="s">
        <v>143</v>
      </c>
      <c r="D6" s="73" t="s">
        <v>144</v>
      </c>
      <c r="E6" s="25" t="s">
        <v>209</v>
      </c>
      <c r="G6" s="369" t="s">
        <v>215</v>
      </c>
      <c r="H6" s="25"/>
      <c r="I6" s="28">
        <v>221450.65</v>
      </c>
      <c r="L6" s="142"/>
    </row>
    <row r="7" spans="4:12" ht="21" customHeight="1">
      <c r="D7" s="73" t="s">
        <v>144</v>
      </c>
      <c r="E7" s="25" t="s">
        <v>210</v>
      </c>
      <c r="G7" s="370" t="s">
        <v>213</v>
      </c>
      <c r="H7" s="25"/>
      <c r="I7" s="28">
        <v>9267567.75</v>
      </c>
      <c r="L7" s="141"/>
    </row>
    <row r="8" spans="4:12" ht="21" customHeight="1">
      <c r="D8" s="73" t="s">
        <v>144</v>
      </c>
      <c r="E8" s="25" t="s">
        <v>211</v>
      </c>
      <c r="G8" s="370" t="s">
        <v>214</v>
      </c>
      <c r="H8" s="25"/>
      <c r="I8" s="28">
        <v>65369097.29</v>
      </c>
      <c r="L8" s="141"/>
    </row>
    <row r="9" spans="4:9" ht="21" customHeight="1">
      <c r="D9" s="73" t="s">
        <v>144</v>
      </c>
      <c r="E9" s="25" t="s">
        <v>212</v>
      </c>
      <c r="G9" s="370" t="s">
        <v>216</v>
      </c>
      <c r="H9" s="25"/>
      <c r="I9" s="28">
        <v>0</v>
      </c>
    </row>
    <row r="10" ht="21" customHeight="1">
      <c r="H10" s="25"/>
    </row>
    <row r="11" spans="3:9" s="4" customFormat="1" ht="21" customHeight="1" thickBot="1">
      <c r="C11" s="4" t="s">
        <v>117</v>
      </c>
      <c r="G11" s="371"/>
      <c r="H11" s="76"/>
      <c r="I11" s="102">
        <f>SUM(I6:I10)</f>
        <v>74858115.69</v>
      </c>
    </row>
    <row r="12" ht="21" customHeight="1" thickTop="1"/>
    <row r="13" spans="2:8" ht="21" customHeight="1" hidden="1">
      <c r="B13" s="669" t="s">
        <v>73</v>
      </c>
      <c r="C13" s="669"/>
      <c r="D13" s="669"/>
      <c r="E13" s="669"/>
      <c r="F13" s="669"/>
      <c r="G13" s="669"/>
      <c r="H13" s="669"/>
    </row>
    <row r="14" spans="3:9" ht="21" customHeight="1" hidden="1">
      <c r="C14" s="25" t="s">
        <v>174</v>
      </c>
      <c r="I14" s="28">
        <v>0</v>
      </c>
    </row>
    <row r="15" spans="3:9" ht="21" customHeight="1" hidden="1">
      <c r="C15" s="116" t="s">
        <v>175</v>
      </c>
      <c r="I15" s="28">
        <v>0</v>
      </c>
    </row>
    <row r="16" spans="3:9" ht="21" customHeight="1" hidden="1" thickBot="1">
      <c r="C16" s="4" t="s">
        <v>117</v>
      </c>
      <c r="H16" s="25"/>
      <c r="I16" s="29">
        <f>SUM(H5:H14)</f>
        <v>0</v>
      </c>
    </row>
    <row r="17" spans="2:8" ht="21" customHeight="1">
      <c r="B17" s="669" t="s">
        <v>658</v>
      </c>
      <c r="C17" s="669"/>
      <c r="D17" s="669"/>
      <c r="E17" s="669"/>
      <c r="F17" s="669"/>
      <c r="G17" s="669"/>
      <c r="H17" s="669"/>
    </row>
    <row r="18" spans="3:11" ht="21" customHeight="1">
      <c r="C18" s="670" t="s">
        <v>176</v>
      </c>
      <c r="D18" s="671"/>
      <c r="E18" s="672"/>
      <c r="F18" s="38" t="s">
        <v>177</v>
      </c>
      <c r="G18" s="670" t="s">
        <v>178</v>
      </c>
      <c r="H18" s="672"/>
      <c r="I18" s="103" t="s">
        <v>113</v>
      </c>
      <c r="J18" s="68"/>
      <c r="K18" s="68"/>
    </row>
    <row r="19" spans="3:11" ht="21" customHeight="1">
      <c r="C19" s="33" t="s">
        <v>179</v>
      </c>
      <c r="D19" s="68"/>
      <c r="E19" s="117"/>
      <c r="F19" s="118">
        <v>2559</v>
      </c>
      <c r="G19" s="372">
        <v>1</v>
      </c>
      <c r="H19" s="34"/>
      <c r="I19" s="26">
        <v>27250</v>
      </c>
      <c r="J19" s="68"/>
      <c r="K19" s="68"/>
    </row>
    <row r="20" spans="3:11" ht="21" customHeight="1">
      <c r="C20" s="33"/>
      <c r="D20" s="68"/>
      <c r="E20" s="117"/>
      <c r="F20" s="118">
        <v>2560</v>
      </c>
      <c r="G20" s="372">
        <v>3</v>
      </c>
      <c r="H20" s="34"/>
      <c r="I20" s="26">
        <v>75870</v>
      </c>
      <c r="J20" s="68"/>
      <c r="K20" s="68"/>
    </row>
    <row r="21" spans="3:11" ht="21" customHeight="1">
      <c r="C21" s="33"/>
      <c r="D21" s="68"/>
      <c r="E21" s="117"/>
      <c r="F21" s="118"/>
      <c r="G21" s="372"/>
      <c r="H21" s="34"/>
      <c r="I21" s="26"/>
      <c r="J21" s="68"/>
      <c r="K21" s="68"/>
    </row>
    <row r="22" spans="3:11" ht="21" customHeight="1">
      <c r="C22" s="670" t="s">
        <v>117</v>
      </c>
      <c r="D22" s="671"/>
      <c r="E22" s="671"/>
      <c r="F22" s="672"/>
      <c r="G22" s="373">
        <f>SUM(G19:G21)</f>
        <v>4</v>
      </c>
      <c r="H22" s="78"/>
      <c r="I22" s="120">
        <f>SUM(I19:I21)</f>
        <v>103120</v>
      </c>
      <c r="J22" s="68"/>
      <c r="K22" s="68"/>
    </row>
    <row r="23" spans="3:11" ht="21" customHeight="1">
      <c r="C23" s="33" t="s">
        <v>180</v>
      </c>
      <c r="D23" s="68"/>
      <c r="E23" s="117"/>
      <c r="F23" s="118">
        <v>2558</v>
      </c>
      <c r="G23" s="372">
        <v>48</v>
      </c>
      <c r="H23" s="34"/>
      <c r="I23" s="26">
        <f>2100*0.89</f>
        <v>1869</v>
      </c>
      <c r="J23" s="68"/>
      <c r="K23" s="68"/>
    </row>
    <row r="24" spans="3:11" ht="21" customHeight="1">
      <c r="C24" s="33"/>
      <c r="D24" s="68"/>
      <c r="E24" s="117"/>
      <c r="F24" s="118">
        <v>2559</v>
      </c>
      <c r="G24" s="372">
        <v>75</v>
      </c>
      <c r="H24" s="34"/>
      <c r="I24" s="26">
        <f>3391*0.89</f>
        <v>3017.9900000000002</v>
      </c>
      <c r="J24" s="68"/>
      <c r="K24" s="68"/>
    </row>
    <row r="25" spans="3:11" ht="21" customHeight="1">
      <c r="C25" s="33"/>
      <c r="D25" s="68"/>
      <c r="E25" s="117"/>
      <c r="F25" s="118">
        <v>2560</v>
      </c>
      <c r="G25" s="372">
        <v>204</v>
      </c>
      <c r="H25" s="34"/>
      <c r="I25" s="26">
        <f>10307*0.89</f>
        <v>9173.23</v>
      </c>
      <c r="J25" s="68"/>
      <c r="K25" s="68"/>
    </row>
    <row r="26" spans="3:11" ht="21" customHeight="1">
      <c r="C26" s="670" t="s">
        <v>117</v>
      </c>
      <c r="D26" s="671"/>
      <c r="E26" s="671"/>
      <c r="F26" s="672"/>
      <c r="G26" s="373">
        <f>SUM(G23:G25)</f>
        <v>327</v>
      </c>
      <c r="H26" s="78"/>
      <c r="I26" s="120">
        <f>SUM(I23:I25)</f>
        <v>14060.22</v>
      </c>
      <c r="J26" s="68"/>
      <c r="K26" s="68"/>
    </row>
    <row r="27" spans="3:11" ht="21" customHeight="1" hidden="1">
      <c r="C27" s="33" t="s">
        <v>181</v>
      </c>
      <c r="D27" s="68"/>
      <c r="E27" s="117"/>
      <c r="F27" s="118"/>
      <c r="G27" s="372">
        <v>0</v>
      </c>
      <c r="H27" s="34"/>
      <c r="I27" s="26">
        <v>0</v>
      </c>
      <c r="J27" s="68"/>
      <c r="K27" s="68"/>
    </row>
    <row r="28" spans="3:11" ht="21" customHeight="1" hidden="1">
      <c r="C28" s="33"/>
      <c r="D28" s="68"/>
      <c r="E28" s="117"/>
      <c r="F28" s="118"/>
      <c r="G28" s="372">
        <v>0</v>
      </c>
      <c r="H28" s="34"/>
      <c r="I28" s="26">
        <v>0</v>
      </c>
      <c r="J28" s="68"/>
      <c r="K28" s="68"/>
    </row>
    <row r="29" spans="3:11" ht="21" customHeight="1" hidden="1">
      <c r="C29" s="33"/>
      <c r="D29" s="68"/>
      <c r="E29" s="117"/>
      <c r="F29" s="118"/>
      <c r="G29" s="372">
        <v>0</v>
      </c>
      <c r="H29" s="34"/>
      <c r="I29" s="26">
        <v>0</v>
      </c>
      <c r="J29" s="68"/>
      <c r="K29" s="68"/>
    </row>
    <row r="30" spans="3:11" ht="21" customHeight="1" hidden="1">
      <c r="C30" s="670" t="s">
        <v>117</v>
      </c>
      <c r="D30" s="671"/>
      <c r="E30" s="671"/>
      <c r="F30" s="672"/>
      <c r="G30" s="373">
        <f>SUM(G27:G29)</f>
        <v>0</v>
      </c>
      <c r="H30" s="78"/>
      <c r="I30" s="120">
        <f>SUM(I27:I29)</f>
        <v>0</v>
      </c>
      <c r="J30" s="68"/>
      <c r="K30" s="68"/>
    </row>
    <row r="31" spans="3:11" ht="21" customHeight="1">
      <c r="C31" s="670" t="s">
        <v>140</v>
      </c>
      <c r="D31" s="671"/>
      <c r="E31" s="671"/>
      <c r="F31" s="672"/>
      <c r="G31" s="373">
        <f>+G30+G26+G22</f>
        <v>331</v>
      </c>
      <c r="H31" s="78"/>
      <c r="I31" s="120">
        <f>+I30+I26+I22</f>
        <v>117180.22</v>
      </c>
      <c r="J31" s="68"/>
      <c r="K31" s="68"/>
    </row>
    <row r="32" spans="3:11" ht="21" customHeight="1">
      <c r="C32" s="119"/>
      <c r="D32" s="119"/>
      <c r="E32" s="119"/>
      <c r="F32" s="119"/>
      <c r="G32" s="372"/>
      <c r="H32" s="34"/>
      <c r="I32" s="34"/>
      <c r="J32" s="68"/>
      <c r="K32" s="68"/>
    </row>
    <row r="33" spans="3:11" ht="21" customHeight="1" hidden="1">
      <c r="C33" s="119"/>
      <c r="D33" s="119"/>
      <c r="E33" s="119"/>
      <c r="F33" s="119"/>
      <c r="G33" s="372"/>
      <c r="H33" s="34"/>
      <c r="I33" s="34"/>
      <c r="J33" s="68"/>
      <c r="K33" s="68"/>
    </row>
    <row r="34" spans="3:11" ht="21" customHeight="1" hidden="1">
      <c r="C34" s="119"/>
      <c r="D34" s="119"/>
      <c r="E34" s="119"/>
      <c r="F34" s="119"/>
      <c r="G34" s="372"/>
      <c r="H34" s="34"/>
      <c r="I34" s="34"/>
      <c r="J34" s="68"/>
      <c r="K34" s="68"/>
    </row>
    <row r="35" spans="3:11" ht="21" customHeight="1" hidden="1">
      <c r="C35" s="119"/>
      <c r="D35" s="119"/>
      <c r="E35" s="119"/>
      <c r="F35" s="119"/>
      <c r="G35" s="372"/>
      <c r="H35" s="34"/>
      <c r="I35" s="34"/>
      <c r="J35" s="68"/>
      <c r="K35" s="68"/>
    </row>
    <row r="36" spans="2:12" ht="24" customHeight="1" hidden="1">
      <c r="B36" s="611" t="s">
        <v>168</v>
      </c>
      <c r="C36" s="611"/>
      <c r="D36" s="611"/>
      <c r="E36" s="611"/>
      <c r="F36" s="611"/>
      <c r="G36" s="611"/>
      <c r="H36" s="611"/>
      <c r="I36" s="611"/>
      <c r="J36" s="27"/>
      <c r="K36" s="27"/>
      <c r="L36" s="27"/>
    </row>
    <row r="37" spans="2:12" ht="24" customHeight="1" hidden="1">
      <c r="B37" s="611" t="s">
        <v>58</v>
      </c>
      <c r="C37" s="611"/>
      <c r="D37" s="611"/>
      <c r="E37" s="611"/>
      <c r="F37" s="611"/>
      <c r="G37" s="611"/>
      <c r="H37" s="611"/>
      <c r="I37" s="611"/>
      <c r="J37" s="27"/>
      <c r="K37" s="27"/>
      <c r="L37" s="27"/>
    </row>
    <row r="38" spans="2:12" ht="24" customHeight="1" hidden="1">
      <c r="B38" s="611" t="str">
        <f>+B3</f>
        <v>สำหรับปี สิ้นสุดวันที่ 30 กันยายน 2559</v>
      </c>
      <c r="C38" s="611"/>
      <c r="D38" s="611"/>
      <c r="E38" s="611"/>
      <c r="F38" s="611"/>
      <c r="G38" s="611"/>
      <c r="H38" s="611"/>
      <c r="I38" s="611"/>
      <c r="J38" s="27"/>
      <c r="K38" s="27"/>
      <c r="L38" s="27"/>
    </row>
    <row r="39" spans="2:12" ht="24" customHeight="1" hidden="1">
      <c r="B39" s="3"/>
      <c r="C39" s="3"/>
      <c r="D39" s="3"/>
      <c r="E39" s="3"/>
      <c r="F39" s="3"/>
      <c r="G39" s="374"/>
      <c r="H39" s="3"/>
      <c r="I39" s="3"/>
      <c r="J39" s="27"/>
      <c r="K39" s="27"/>
      <c r="L39" s="27"/>
    </row>
    <row r="40" spans="2:11" ht="24" customHeight="1" hidden="1">
      <c r="B40" s="669" t="s">
        <v>74</v>
      </c>
      <c r="C40" s="669"/>
      <c r="D40" s="669"/>
      <c r="E40" s="669"/>
      <c r="F40" s="669"/>
      <c r="G40" s="669"/>
      <c r="H40" s="669"/>
      <c r="J40" s="68"/>
      <c r="K40" s="68"/>
    </row>
    <row r="41" spans="7:9" ht="24" customHeight="1" hidden="1">
      <c r="G41" s="25"/>
      <c r="H41" s="25"/>
      <c r="I41" s="424">
        <v>0</v>
      </c>
    </row>
    <row r="42" spans="3:9" ht="24" customHeight="1" hidden="1" thickBot="1">
      <c r="C42" s="4" t="s">
        <v>117</v>
      </c>
      <c r="G42" s="25"/>
      <c r="H42" s="424"/>
      <c r="I42" s="425">
        <f>SUM(I41:I41)</f>
        <v>0</v>
      </c>
    </row>
    <row r="43" spans="2:12" ht="24" customHeight="1" hidden="1" thickTop="1">
      <c r="B43" s="3"/>
      <c r="C43" s="3"/>
      <c r="D43" s="3"/>
      <c r="E43" s="3"/>
      <c r="F43" s="3"/>
      <c r="G43" s="374"/>
      <c r="H43" s="3"/>
      <c r="I43" s="3"/>
      <c r="J43" s="429"/>
      <c r="K43" s="27"/>
      <c r="L43" s="27"/>
    </row>
    <row r="44" spans="2:8" ht="24" customHeight="1">
      <c r="B44" s="669" t="s">
        <v>659</v>
      </c>
      <c r="C44" s="669"/>
      <c r="D44" s="669"/>
      <c r="E44" s="669"/>
      <c r="F44" s="669"/>
      <c r="G44" s="669"/>
      <c r="H44" s="669"/>
    </row>
    <row r="45" spans="3:11" ht="24" customHeight="1">
      <c r="C45" s="25" t="s">
        <v>518</v>
      </c>
      <c r="G45" s="25"/>
      <c r="H45" s="424"/>
      <c r="I45" s="424">
        <v>48800</v>
      </c>
      <c r="J45" s="68"/>
      <c r="K45" s="68"/>
    </row>
    <row r="46" spans="3:11" ht="24" customHeight="1">
      <c r="C46" s="25" t="s">
        <v>519</v>
      </c>
      <c r="G46" s="25"/>
      <c r="H46" s="424"/>
      <c r="I46" s="424">
        <v>80311.25</v>
      </c>
      <c r="J46" s="430"/>
      <c r="K46" s="68"/>
    </row>
    <row r="47" spans="3:11" ht="24" customHeight="1">
      <c r="C47" s="25" t="s">
        <v>520</v>
      </c>
      <c r="G47" s="25"/>
      <c r="H47" s="424"/>
      <c r="I47" s="424">
        <v>100000</v>
      </c>
      <c r="J47" s="68"/>
      <c r="K47" s="68"/>
    </row>
    <row r="48" spans="3:11" ht="24" customHeight="1">
      <c r="C48" s="25" t="s">
        <v>521</v>
      </c>
      <c r="G48" s="25"/>
      <c r="H48" s="424"/>
      <c r="I48" s="424">
        <v>100000</v>
      </c>
      <c r="J48" s="68"/>
      <c r="K48" s="68"/>
    </row>
    <row r="49" spans="3:9" ht="24" customHeight="1">
      <c r="C49" s="25" t="s">
        <v>522</v>
      </c>
      <c r="G49" s="25"/>
      <c r="H49" s="25"/>
      <c r="I49" s="424">
        <v>100000</v>
      </c>
    </row>
    <row r="50" spans="3:9" ht="24" customHeight="1" thickBot="1">
      <c r="C50" s="4" t="s">
        <v>117</v>
      </c>
      <c r="G50" s="25"/>
      <c r="H50" s="424"/>
      <c r="I50" s="425">
        <f>SUM(I45:I49)</f>
        <v>429111.25</v>
      </c>
    </row>
    <row r="51" spans="3:9" ht="24" customHeight="1" thickTop="1">
      <c r="C51" s="4"/>
      <c r="H51" s="25"/>
      <c r="I51" s="34"/>
    </row>
    <row r="52" spans="2:8" ht="24" customHeight="1" hidden="1">
      <c r="B52" s="669" t="s">
        <v>75</v>
      </c>
      <c r="C52" s="669"/>
      <c r="D52" s="669"/>
      <c r="E52" s="669"/>
      <c r="F52" s="669"/>
      <c r="G52" s="669"/>
      <c r="H52" s="669"/>
    </row>
    <row r="53" spans="3:9" ht="24" customHeight="1" hidden="1">
      <c r="C53" s="25" t="s">
        <v>217</v>
      </c>
      <c r="I53" s="28">
        <v>0</v>
      </c>
    </row>
    <row r="54" spans="3:9" ht="24" customHeight="1" hidden="1">
      <c r="C54" s="116" t="s">
        <v>175</v>
      </c>
      <c r="I54" s="28">
        <v>0</v>
      </c>
    </row>
    <row r="55" spans="3:9" ht="24" customHeight="1" hidden="1" thickBot="1">
      <c r="C55" s="4" t="s">
        <v>117</v>
      </c>
      <c r="H55" s="25"/>
      <c r="I55" s="29">
        <f>SUM(H36:H53)</f>
        <v>0</v>
      </c>
    </row>
    <row r="56" ht="24" customHeight="1" hidden="1" thickTop="1"/>
    <row r="57" spans="2:8" ht="24" customHeight="1" hidden="1">
      <c r="B57" s="669" t="s">
        <v>76</v>
      </c>
      <c r="C57" s="669"/>
      <c r="D57" s="669"/>
      <c r="E57" s="669"/>
      <c r="F57" s="669"/>
      <c r="G57" s="669"/>
      <c r="H57" s="669"/>
    </row>
    <row r="58" spans="3:9" ht="24" customHeight="1" hidden="1">
      <c r="C58" s="25" t="s">
        <v>218</v>
      </c>
      <c r="I58" s="28">
        <v>0</v>
      </c>
    </row>
    <row r="59" spans="3:9" ht="24" customHeight="1" hidden="1">
      <c r="C59" s="25" t="s">
        <v>219</v>
      </c>
      <c r="I59" s="28">
        <v>0</v>
      </c>
    </row>
    <row r="60" spans="3:9" ht="24" customHeight="1" hidden="1">
      <c r="C60" s="116" t="s">
        <v>175</v>
      </c>
      <c r="I60" s="28">
        <v>0</v>
      </c>
    </row>
    <row r="61" spans="3:9" ht="24" customHeight="1" hidden="1" thickBot="1">
      <c r="C61" s="4" t="s">
        <v>117</v>
      </c>
      <c r="H61" s="25"/>
      <c r="I61" s="29">
        <f>SUM(H51:H59)</f>
        <v>0</v>
      </c>
    </row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</sheetData>
  <sheetProtection/>
  <mergeCells count="19">
    <mergeCell ref="C22:F22"/>
    <mergeCell ref="C26:F26"/>
    <mergeCell ref="C30:F30"/>
    <mergeCell ref="C31:F31"/>
    <mergeCell ref="B13:H13"/>
    <mergeCell ref="B17:H17"/>
    <mergeCell ref="B1:I1"/>
    <mergeCell ref="B2:I2"/>
    <mergeCell ref="B3:I3"/>
    <mergeCell ref="B4:H4"/>
    <mergeCell ref="C18:E18"/>
    <mergeCell ref="G18:H18"/>
    <mergeCell ref="B36:I36"/>
    <mergeCell ref="B37:I37"/>
    <mergeCell ref="B38:I38"/>
    <mergeCell ref="B44:H44"/>
    <mergeCell ref="B52:H52"/>
    <mergeCell ref="B57:H57"/>
    <mergeCell ref="B40:H40"/>
  </mergeCells>
  <printOptions/>
  <pageMargins left="0.6692913385826772" right="0.2362204724409449" top="0.52" bottom="0.28" header="0.15748031496062992" footer="0.2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H45"/>
  <sheetViews>
    <sheetView view="pageBreakPreview" zoomScaleSheetLayoutView="100" zoomScalePageLayoutView="0" workbookViewId="0" topLeftCell="A28">
      <selection activeCell="E6" sqref="E6"/>
    </sheetView>
  </sheetViews>
  <sheetFormatPr defaultColWidth="9.140625" defaultRowHeight="22.5" customHeight="1"/>
  <cols>
    <col min="1" max="1" width="1.1484375" style="0" customWidth="1"/>
    <col min="2" max="2" width="11.00390625" style="0" customWidth="1"/>
    <col min="3" max="3" width="12.57421875" style="0" customWidth="1"/>
    <col min="4" max="4" width="15.421875" style="0" customWidth="1"/>
    <col min="5" max="5" width="8.8515625" style="0" customWidth="1"/>
    <col min="6" max="6" width="25.28125" style="0" customWidth="1"/>
    <col min="7" max="7" width="17.8515625" style="0" customWidth="1"/>
    <col min="8" max="8" width="13.8515625" style="0" customWidth="1"/>
    <col min="9" max="9" width="12.421875" style="0" customWidth="1"/>
  </cols>
  <sheetData>
    <row r="1" spans="2:8" ht="20.25" customHeight="1">
      <c r="B1" s="653" t="s">
        <v>168</v>
      </c>
      <c r="C1" s="653"/>
      <c r="D1" s="653"/>
      <c r="E1" s="653"/>
      <c r="F1" s="653"/>
      <c r="G1" s="653"/>
      <c r="H1" s="653"/>
    </row>
    <row r="2" spans="2:8" ht="20.25" customHeight="1">
      <c r="B2" s="653" t="s">
        <v>58</v>
      </c>
      <c r="C2" s="653"/>
      <c r="D2" s="653"/>
      <c r="E2" s="653"/>
      <c r="F2" s="653"/>
      <c r="G2" s="653"/>
      <c r="H2" s="653"/>
    </row>
    <row r="3" spans="2:8" ht="20.25" customHeight="1">
      <c r="B3" s="653" t="s">
        <v>545</v>
      </c>
      <c r="C3" s="653"/>
      <c r="D3" s="653"/>
      <c r="E3" s="653"/>
      <c r="F3" s="653"/>
      <c r="G3" s="653"/>
      <c r="H3" s="653"/>
    </row>
    <row r="4" spans="2:8" s="25" customFormat="1" ht="20.25" customHeight="1">
      <c r="B4" s="680" t="s">
        <v>660</v>
      </c>
      <c r="C4" s="680"/>
      <c r="D4" s="680"/>
      <c r="E4" s="680"/>
      <c r="F4" s="680"/>
      <c r="G4" s="680"/>
      <c r="H4" s="680"/>
    </row>
    <row r="5" spans="2:8" s="25" customFormat="1" ht="21" customHeight="1">
      <c r="B5" s="315" t="s">
        <v>77</v>
      </c>
      <c r="C5" s="315" t="s">
        <v>78</v>
      </c>
      <c r="D5" s="316" t="s">
        <v>79</v>
      </c>
      <c r="E5" s="316" t="s">
        <v>1</v>
      </c>
      <c r="F5" s="317" t="s">
        <v>432</v>
      </c>
      <c r="G5" s="316" t="s">
        <v>80</v>
      </c>
      <c r="H5" s="316" t="s">
        <v>433</v>
      </c>
    </row>
    <row r="6" spans="2:8" s="25" customFormat="1" ht="22.5" customHeight="1">
      <c r="B6" s="318" t="s">
        <v>434</v>
      </c>
      <c r="C6" s="318"/>
      <c r="D6" s="319"/>
      <c r="E6" s="319"/>
      <c r="F6" s="320"/>
      <c r="G6" s="319"/>
      <c r="H6" s="321"/>
    </row>
    <row r="7" spans="2:8" s="25" customFormat="1" ht="24" customHeight="1">
      <c r="B7" s="329" t="s">
        <v>475</v>
      </c>
      <c r="C7" s="329" t="s">
        <v>436</v>
      </c>
      <c r="D7" s="330"/>
      <c r="E7" s="330"/>
      <c r="F7" s="331" t="s">
        <v>437</v>
      </c>
      <c r="G7" s="330" t="s">
        <v>438</v>
      </c>
      <c r="H7" s="332">
        <v>381000</v>
      </c>
    </row>
    <row r="8" spans="2:8" s="25" customFormat="1" ht="24" customHeight="1">
      <c r="B8" s="334" t="s">
        <v>475</v>
      </c>
      <c r="C8" s="334" t="s">
        <v>439</v>
      </c>
      <c r="D8" s="335" t="s">
        <v>440</v>
      </c>
      <c r="E8" s="335"/>
      <c r="F8" s="336" t="s">
        <v>441</v>
      </c>
      <c r="G8" s="335"/>
      <c r="H8" s="337">
        <f>11844+7279.5+4007.22</f>
        <v>23130.72</v>
      </c>
    </row>
    <row r="9" spans="2:8" s="25" customFormat="1" ht="24" customHeight="1">
      <c r="B9" s="334" t="s">
        <v>81</v>
      </c>
      <c r="C9" s="334" t="s">
        <v>442</v>
      </c>
      <c r="D9" s="335" t="s">
        <v>275</v>
      </c>
      <c r="E9" s="335" t="s">
        <v>19</v>
      </c>
      <c r="F9" s="336" t="s">
        <v>443</v>
      </c>
      <c r="G9" s="335"/>
      <c r="H9" s="337">
        <v>4220</v>
      </c>
    </row>
    <row r="10" spans="2:8" s="25" customFormat="1" ht="36" customHeight="1">
      <c r="B10" s="334" t="s">
        <v>81</v>
      </c>
      <c r="C10" s="334" t="s">
        <v>444</v>
      </c>
      <c r="D10" s="335" t="s">
        <v>290</v>
      </c>
      <c r="E10" s="335" t="s">
        <v>19</v>
      </c>
      <c r="F10" s="336" t="s">
        <v>445</v>
      </c>
      <c r="G10" s="335" t="s">
        <v>446</v>
      </c>
      <c r="H10" s="337">
        <v>4500</v>
      </c>
    </row>
    <row r="11" spans="2:8" s="25" customFormat="1" ht="24" customHeight="1">
      <c r="B11" s="334" t="s">
        <v>81</v>
      </c>
      <c r="C11" s="334" t="s">
        <v>444</v>
      </c>
      <c r="D11" s="335" t="s">
        <v>290</v>
      </c>
      <c r="E11" s="335" t="s">
        <v>19</v>
      </c>
      <c r="F11" s="336" t="s">
        <v>445</v>
      </c>
      <c r="G11" s="335" t="s">
        <v>447</v>
      </c>
      <c r="H11" s="337">
        <v>59300</v>
      </c>
    </row>
    <row r="12" spans="2:8" s="25" customFormat="1" ht="24" customHeight="1">
      <c r="B12" s="334" t="s">
        <v>81</v>
      </c>
      <c r="C12" s="334" t="s">
        <v>439</v>
      </c>
      <c r="D12" s="335" t="s">
        <v>283</v>
      </c>
      <c r="E12" s="335" t="s">
        <v>19</v>
      </c>
      <c r="F12" s="336" t="s">
        <v>443</v>
      </c>
      <c r="G12" s="335"/>
      <c r="H12" s="337">
        <v>4500</v>
      </c>
    </row>
    <row r="13" spans="2:8" s="25" customFormat="1" ht="24" customHeight="1">
      <c r="B13" s="334" t="s">
        <v>81</v>
      </c>
      <c r="C13" s="334" t="s">
        <v>448</v>
      </c>
      <c r="D13" s="335" t="s">
        <v>299</v>
      </c>
      <c r="E13" s="335" t="s">
        <v>19</v>
      </c>
      <c r="F13" s="336" t="s">
        <v>443</v>
      </c>
      <c r="G13" s="335"/>
      <c r="H13" s="337">
        <v>322205</v>
      </c>
    </row>
    <row r="14" spans="2:8" s="25" customFormat="1" ht="24" customHeight="1">
      <c r="B14" s="334" t="s">
        <v>81</v>
      </c>
      <c r="C14" s="334" t="s">
        <v>439</v>
      </c>
      <c r="D14" s="335" t="s">
        <v>440</v>
      </c>
      <c r="E14" s="335" t="s">
        <v>20</v>
      </c>
      <c r="F14" s="336" t="s">
        <v>441</v>
      </c>
      <c r="G14" s="335"/>
      <c r="H14" s="337">
        <v>700534.7</v>
      </c>
    </row>
    <row r="15" spans="2:8" s="25" customFormat="1" ht="24" customHeight="1">
      <c r="B15" s="334" t="s">
        <v>81</v>
      </c>
      <c r="C15" s="334" t="s">
        <v>442</v>
      </c>
      <c r="D15" s="335" t="s">
        <v>275</v>
      </c>
      <c r="E15" s="335" t="s">
        <v>22</v>
      </c>
      <c r="F15" s="336" t="s">
        <v>449</v>
      </c>
      <c r="G15" s="335"/>
      <c r="H15" s="337">
        <v>141539.6</v>
      </c>
    </row>
    <row r="16" spans="2:8" s="25" customFormat="1" ht="24" customHeight="1">
      <c r="B16" s="338" t="s">
        <v>450</v>
      </c>
      <c r="C16" s="338"/>
      <c r="D16" s="339"/>
      <c r="E16" s="324"/>
      <c r="F16" s="325"/>
      <c r="G16" s="324"/>
      <c r="H16" s="332"/>
    </row>
    <row r="17" spans="2:8" s="25" customFormat="1" ht="24" customHeight="1">
      <c r="B17" s="329" t="s">
        <v>475</v>
      </c>
      <c r="C17" s="329" t="s">
        <v>22</v>
      </c>
      <c r="D17" s="330" t="s">
        <v>94</v>
      </c>
      <c r="E17" s="330" t="s">
        <v>22</v>
      </c>
      <c r="F17" s="331" t="s">
        <v>94</v>
      </c>
      <c r="G17" s="330" t="s">
        <v>451</v>
      </c>
      <c r="H17" s="332">
        <v>3050000</v>
      </c>
    </row>
    <row r="18" spans="2:8" s="25" customFormat="1" ht="24" customHeight="1">
      <c r="B18" s="334" t="s">
        <v>81</v>
      </c>
      <c r="C18" s="334" t="s">
        <v>442</v>
      </c>
      <c r="D18" s="335" t="s">
        <v>275</v>
      </c>
      <c r="E18" s="335" t="s">
        <v>18</v>
      </c>
      <c r="F18" s="336" t="s">
        <v>452</v>
      </c>
      <c r="G18" s="340"/>
      <c r="H18" s="337">
        <v>460000</v>
      </c>
    </row>
    <row r="19" spans="2:8" s="25" customFormat="1" ht="24" customHeight="1">
      <c r="B19" s="334" t="s">
        <v>81</v>
      </c>
      <c r="C19" s="334" t="s">
        <v>442</v>
      </c>
      <c r="D19" s="335" t="s">
        <v>277</v>
      </c>
      <c r="E19" s="335" t="s">
        <v>18</v>
      </c>
      <c r="F19" s="336" t="s">
        <v>452</v>
      </c>
      <c r="G19" s="340"/>
      <c r="H19" s="337">
        <v>200000</v>
      </c>
    </row>
    <row r="20" spans="2:8" s="25" customFormat="1" ht="24" customHeight="1">
      <c r="B20" s="334" t="s">
        <v>81</v>
      </c>
      <c r="C20" s="334" t="s">
        <v>444</v>
      </c>
      <c r="D20" s="335" t="s">
        <v>288</v>
      </c>
      <c r="E20" s="335" t="s">
        <v>18</v>
      </c>
      <c r="F20" s="336" t="s">
        <v>452</v>
      </c>
      <c r="G20" s="340"/>
      <c r="H20" s="337">
        <v>320000</v>
      </c>
    </row>
    <row r="21" spans="2:8" s="25" customFormat="1" ht="24" customHeight="1">
      <c r="B21" s="334" t="s">
        <v>81</v>
      </c>
      <c r="C21" s="334" t="s">
        <v>448</v>
      </c>
      <c r="D21" s="335" t="s">
        <v>296</v>
      </c>
      <c r="E21" s="335" t="s">
        <v>18</v>
      </c>
      <c r="F21" s="336" t="s">
        <v>452</v>
      </c>
      <c r="G21" s="340"/>
      <c r="H21" s="337">
        <v>160000</v>
      </c>
    </row>
    <row r="22" spans="2:8" s="25" customFormat="1" ht="24" customHeight="1">
      <c r="B22" s="334" t="s">
        <v>81</v>
      </c>
      <c r="C22" s="334" t="s">
        <v>444</v>
      </c>
      <c r="D22" s="335" t="s">
        <v>290</v>
      </c>
      <c r="E22" s="335" t="s">
        <v>22</v>
      </c>
      <c r="F22" s="336" t="s">
        <v>101</v>
      </c>
      <c r="G22" s="335" t="s">
        <v>453</v>
      </c>
      <c r="H22" s="337">
        <v>3300000</v>
      </c>
    </row>
    <row r="23" spans="2:8" s="25" customFormat="1" ht="24" customHeight="1">
      <c r="B23" s="334" t="s">
        <v>81</v>
      </c>
      <c r="C23" s="334" t="s">
        <v>448</v>
      </c>
      <c r="D23" s="335" t="s">
        <v>296</v>
      </c>
      <c r="E23" s="335" t="s">
        <v>22</v>
      </c>
      <c r="F23" s="336" t="s">
        <v>104</v>
      </c>
      <c r="G23" s="335" t="s">
        <v>454</v>
      </c>
      <c r="H23" s="337">
        <v>384000</v>
      </c>
    </row>
    <row r="24" spans="2:8" s="25" customFormat="1" ht="24" customHeight="1">
      <c r="B24" s="334" t="s">
        <v>81</v>
      </c>
      <c r="C24" s="334" t="s">
        <v>448</v>
      </c>
      <c r="D24" s="335" t="s">
        <v>296</v>
      </c>
      <c r="E24" s="335" t="s">
        <v>22</v>
      </c>
      <c r="F24" s="336" t="s">
        <v>449</v>
      </c>
      <c r="G24" s="335"/>
      <c r="H24" s="337">
        <v>300000</v>
      </c>
    </row>
    <row r="25" spans="2:8" s="25" customFormat="1" ht="24" customHeight="1">
      <c r="B25" s="334" t="s">
        <v>81</v>
      </c>
      <c r="C25" s="334" t="s">
        <v>439</v>
      </c>
      <c r="D25" s="335" t="s">
        <v>440</v>
      </c>
      <c r="E25" s="335" t="s">
        <v>473</v>
      </c>
      <c r="F25" s="336" t="s">
        <v>455</v>
      </c>
      <c r="G25" s="335" t="s">
        <v>456</v>
      </c>
      <c r="H25" s="337">
        <v>278000</v>
      </c>
    </row>
    <row r="26" spans="2:8" s="25" customFormat="1" ht="24" customHeight="1">
      <c r="B26" s="334" t="s">
        <v>81</v>
      </c>
      <c r="C26" s="334" t="s">
        <v>457</v>
      </c>
      <c r="D26" s="335" t="s">
        <v>310</v>
      </c>
      <c r="E26" s="335" t="s">
        <v>473</v>
      </c>
      <c r="F26" s="336" t="s">
        <v>455</v>
      </c>
      <c r="G26" s="335" t="s">
        <v>458</v>
      </c>
      <c r="H26" s="337">
        <v>570000</v>
      </c>
    </row>
    <row r="27" spans="2:8" s="25" customFormat="1" ht="24" customHeight="1">
      <c r="B27" s="334" t="s">
        <v>81</v>
      </c>
      <c r="C27" s="334" t="s">
        <v>457</v>
      </c>
      <c r="D27" s="335" t="s">
        <v>310</v>
      </c>
      <c r="E27" s="360" t="s">
        <v>473</v>
      </c>
      <c r="F27" s="336" t="s">
        <v>459</v>
      </c>
      <c r="G27" s="335" t="s">
        <v>460</v>
      </c>
      <c r="H27" s="337">
        <v>2447000</v>
      </c>
    </row>
    <row r="28" spans="2:8" s="25" customFormat="1" ht="24" customHeight="1">
      <c r="B28" s="683" t="s">
        <v>117</v>
      </c>
      <c r="C28" s="684"/>
      <c r="D28" s="684"/>
      <c r="E28" s="684"/>
      <c r="F28" s="684"/>
      <c r="G28" s="685"/>
      <c r="H28" s="347">
        <f>SUM(H7:H27)</f>
        <v>13109930.02</v>
      </c>
    </row>
    <row r="29" spans="2:8" s="25" customFormat="1" ht="24" customHeight="1">
      <c r="B29" s="351" t="s">
        <v>262</v>
      </c>
      <c r="C29" s="351"/>
      <c r="D29" s="314"/>
      <c r="E29" s="314"/>
      <c r="F29" s="314"/>
      <c r="G29" s="314"/>
      <c r="H29" s="314"/>
    </row>
    <row r="30" spans="2:8" s="25" customFormat="1" ht="24" customHeight="1">
      <c r="B30" s="355" t="s">
        <v>463</v>
      </c>
      <c r="C30" s="354" t="s">
        <v>439</v>
      </c>
      <c r="D30" s="355" t="s">
        <v>461</v>
      </c>
      <c r="E30" s="355" t="s">
        <v>474</v>
      </c>
      <c r="F30" s="355" t="s">
        <v>462</v>
      </c>
      <c r="G30" s="355" t="s">
        <v>462</v>
      </c>
      <c r="H30" s="357">
        <v>18558</v>
      </c>
    </row>
    <row r="31" spans="2:8" s="60" customFormat="1" ht="24" customHeight="1">
      <c r="B31" s="335" t="s">
        <v>463</v>
      </c>
      <c r="C31" s="334" t="s">
        <v>439</v>
      </c>
      <c r="D31" s="335" t="s">
        <v>461</v>
      </c>
      <c r="E31" s="335" t="s">
        <v>474</v>
      </c>
      <c r="F31" s="335" t="s">
        <v>464</v>
      </c>
      <c r="G31" s="335" t="s">
        <v>464</v>
      </c>
      <c r="H31" s="337">
        <v>18900</v>
      </c>
    </row>
    <row r="32" spans="2:8" s="60" customFormat="1" ht="24" customHeight="1">
      <c r="B32" s="335" t="s">
        <v>463</v>
      </c>
      <c r="C32" s="334" t="s">
        <v>439</v>
      </c>
      <c r="D32" s="335" t="s">
        <v>461</v>
      </c>
      <c r="E32" s="335" t="s">
        <v>474</v>
      </c>
      <c r="F32" s="335" t="s">
        <v>464</v>
      </c>
      <c r="G32" s="335" t="s">
        <v>464</v>
      </c>
      <c r="H32" s="337">
        <v>41843</v>
      </c>
    </row>
    <row r="33" spans="2:8" s="60" customFormat="1" ht="24" customHeight="1">
      <c r="B33" s="335" t="s">
        <v>463</v>
      </c>
      <c r="C33" s="334" t="s">
        <v>448</v>
      </c>
      <c r="D33" s="335" t="s">
        <v>465</v>
      </c>
      <c r="E33" s="335" t="s">
        <v>474</v>
      </c>
      <c r="F33" s="335" t="s">
        <v>466</v>
      </c>
      <c r="G33" s="335" t="s">
        <v>466</v>
      </c>
      <c r="H33" s="337">
        <v>9870</v>
      </c>
    </row>
    <row r="34" spans="2:8" s="25" customFormat="1" ht="24" customHeight="1">
      <c r="B34" s="335" t="s">
        <v>463</v>
      </c>
      <c r="C34" s="334" t="s">
        <v>448</v>
      </c>
      <c r="D34" s="335" t="s">
        <v>465</v>
      </c>
      <c r="E34" s="335" t="s">
        <v>18</v>
      </c>
      <c r="F34" s="335" t="s">
        <v>467</v>
      </c>
      <c r="G34" s="335" t="s">
        <v>467</v>
      </c>
      <c r="H34" s="337">
        <v>4200</v>
      </c>
    </row>
    <row r="35" spans="2:8" s="25" customFormat="1" ht="24" customHeight="1">
      <c r="B35" s="335" t="s">
        <v>463</v>
      </c>
      <c r="C35" s="334" t="s">
        <v>468</v>
      </c>
      <c r="D35" s="335" t="s">
        <v>17</v>
      </c>
      <c r="E35" s="335" t="s">
        <v>17</v>
      </c>
      <c r="F35" s="335" t="s">
        <v>469</v>
      </c>
      <c r="G35" s="335" t="s">
        <v>469</v>
      </c>
      <c r="H35" s="337">
        <v>590</v>
      </c>
    </row>
    <row r="36" spans="2:8" ht="24" customHeight="1">
      <c r="B36" s="378" t="s">
        <v>463</v>
      </c>
      <c r="C36" s="379" t="s">
        <v>468</v>
      </c>
      <c r="D36" s="378" t="s">
        <v>17</v>
      </c>
      <c r="E36" s="378" t="s">
        <v>17</v>
      </c>
      <c r="F36" s="378" t="s">
        <v>470</v>
      </c>
      <c r="G36" s="380" t="s">
        <v>669</v>
      </c>
      <c r="H36" s="362">
        <v>937.5</v>
      </c>
    </row>
    <row r="37" spans="2:8" ht="24" customHeight="1">
      <c r="B37" s="683" t="s">
        <v>117</v>
      </c>
      <c r="C37" s="684"/>
      <c r="D37" s="684"/>
      <c r="E37" s="684"/>
      <c r="F37" s="684"/>
      <c r="G37" s="685"/>
      <c r="H37" s="347">
        <f>SUM(H30:H36)</f>
        <v>94898.5</v>
      </c>
    </row>
    <row r="38" spans="2:8" ht="24" customHeight="1">
      <c r="B38" s="681" t="s">
        <v>471</v>
      </c>
      <c r="C38" s="682"/>
      <c r="D38" s="682"/>
      <c r="E38" s="682"/>
      <c r="F38" s="682"/>
      <c r="G38" s="547"/>
      <c r="H38" s="377">
        <f>+H37+H28</f>
        <v>13204828.52</v>
      </c>
    </row>
    <row r="40" spans="2:8" s="25" customFormat="1" ht="24.75" customHeight="1" hidden="1">
      <c r="B40" s="669" t="s">
        <v>85</v>
      </c>
      <c r="C40" s="669"/>
      <c r="D40" s="669"/>
      <c r="E40" s="669"/>
      <c r="F40" s="669"/>
      <c r="G40" s="669"/>
      <c r="H40" s="669"/>
    </row>
    <row r="41" spans="2:8" s="25" customFormat="1" ht="24.75" customHeight="1" hidden="1">
      <c r="B41" s="38" t="s">
        <v>220</v>
      </c>
      <c r="C41" s="38" t="s">
        <v>78</v>
      </c>
      <c r="D41" s="670" t="s">
        <v>79</v>
      </c>
      <c r="E41" s="672"/>
      <c r="F41" s="38" t="s">
        <v>1</v>
      </c>
      <c r="G41" s="38" t="s">
        <v>162</v>
      </c>
      <c r="H41" s="103" t="s">
        <v>113</v>
      </c>
    </row>
    <row r="42" spans="2:8" s="73" customFormat="1" ht="24.75" customHeight="1" hidden="1">
      <c r="B42" s="16" t="s">
        <v>94</v>
      </c>
      <c r="C42" s="16" t="s">
        <v>94</v>
      </c>
      <c r="D42" s="673" t="s">
        <v>94</v>
      </c>
      <c r="E42" s="674"/>
      <c r="F42" s="14" t="s">
        <v>94</v>
      </c>
      <c r="G42" s="37" t="s">
        <v>94</v>
      </c>
      <c r="H42" s="375" t="s">
        <v>94</v>
      </c>
    </row>
    <row r="43" spans="2:8" ht="22.5" customHeight="1" hidden="1">
      <c r="B43" s="13"/>
      <c r="C43" s="13"/>
      <c r="D43" s="675"/>
      <c r="E43" s="676"/>
      <c r="F43" s="1"/>
      <c r="G43" s="50"/>
      <c r="H43" s="8"/>
    </row>
    <row r="44" spans="2:8" ht="22.5" customHeight="1" hidden="1">
      <c r="B44" s="104"/>
      <c r="C44" s="104"/>
      <c r="D44" s="677"/>
      <c r="E44" s="678"/>
      <c r="F44" s="105"/>
      <c r="G44" s="59"/>
      <c r="H44" s="18"/>
    </row>
    <row r="45" spans="2:8" ht="22.5" customHeight="1" hidden="1">
      <c r="B45" s="667" t="s">
        <v>117</v>
      </c>
      <c r="C45" s="679"/>
      <c r="D45" s="679"/>
      <c r="E45" s="679"/>
      <c r="F45" s="679"/>
      <c r="G45" s="668"/>
      <c r="H45" s="376" t="s">
        <v>94</v>
      </c>
    </row>
  </sheetData>
  <sheetProtection/>
  <mergeCells count="13">
    <mergeCell ref="B1:H1"/>
    <mergeCell ref="B2:H2"/>
    <mergeCell ref="B3:H3"/>
    <mergeCell ref="D41:E41"/>
    <mergeCell ref="B38:F38"/>
    <mergeCell ref="B28:G28"/>
    <mergeCell ref="B37:G37"/>
    <mergeCell ref="D42:E42"/>
    <mergeCell ref="D43:E43"/>
    <mergeCell ref="D44:E44"/>
    <mergeCell ref="B45:G45"/>
    <mergeCell ref="B40:H40"/>
    <mergeCell ref="B4:H4"/>
  </mergeCells>
  <printOptions/>
  <pageMargins left="0.59" right="0.15748031496062992" top="0.3937007874015748" bottom="0.3937007874015748" header="0.15748031496062992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G3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8515625" style="1" customWidth="1"/>
    <col min="2" max="2" width="8.8515625" style="1" customWidth="1"/>
    <col min="3" max="3" width="13.28125" style="1" customWidth="1"/>
    <col min="4" max="4" width="15.00390625" style="1" customWidth="1"/>
    <col min="5" max="5" width="12.00390625" style="1" customWidth="1"/>
    <col min="6" max="6" width="16.7109375" style="1" customWidth="1"/>
    <col min="7" max="7" width="17.140625" style="2" customWidth="1"/>
    <col min="8" max="8" width="6.57421875" style="1" customWidth="1"/>
    <col min="9" max="16384" width="9.140625" style="1" customWidth="1"/>
  </cols>
  <sheetData>
    <row r="1" spans="2:7" ht="24.75" customHeight="1">
      <c r="B1" s="653" t="s">
        <v>168</v>
      </c>
      <c r="C1" s="653"/>
      <c r="D1" s="653"/>
      <c r="E1" s="653"/>
      <c r="F1" s="653"/>
      <c r="G1" s="653"/>
    </row>
    <row r="2" spans="2:7" ht="21" customHeight="1">
      <c r="B2" s="653" t="s">
        <v>58</v>
      </c>
      <c r="C2" s="653"/>
      <c r="D2" s="653"/>
      <c r="E2" s="653"/>
      <c r="F2" s="653"/>
      <c r="G2" s="653"/>
    </row>
    <row r="3" spans="2:7" ht="23.25" customHeight="1">
      <c r="B3" s="653" t="s">
        <v>545</v>
      </c>
      <c r="C3" s="653"/>
      <c r="D3" s="653"/>
      <c r="E3" s="653"/>
      <c r="F3" s="653"/>
      <c r="G3" s="653"/>
    </row>
    <row r="4" spans="2:7" ht="15.75" customHeight="1">
      <c r="B4" s="54"/>
      <c r="C4" s="54"/>
      <c r="D4" s="54"/>
      <c r="E4" s="54"/>
      <c r="F4" s="54"/>
      <c r="G4" s="54"/>
    </row>
    <row r="5" spans="2:7" ht="18.75" customHeight="1">
      <c r="B5" s="669" t="s">
        <v>661</v>
      </c>
      <c r="C5" s="669"/>
      <c r="D5" s="669"/>
      <c r="E5" s="669"/>
      <c r="F5" s="669"/>
      <c r="G5" s="669"/>
    </row>
    <row r="6" spans="2:7" s="25" customFormat="1" ht="18.75" customHeight="1">
      <c r="B6" s="68"/>
      <c r="C6" s="381" t="s">
        <v>409</v>
      </c>
      <c r="D6" s="382"/>
      <c r="E6" s="383"/>
      <c r="F6" s="68"/>
      <c r="G6" s="383">
        <v>12153.01</v>
      </c>
    </row>
    <row r="7" spans="2:7" s="25" customFormat="1" ht="18.75" customHeight="1">
      <c r="B7" s="68"/>
      <c r="C7" s="381" t="s">
        <v>411</v>
      </c>
      <c r="D7" s="382"/>
      <c r="E7" s="383"/>
      <c r="F7" s="68"/>
      <c r="G7" s="383">
        <v>30947.8</v>
      </c>
    </row>
    <row r="8" spans="2:7" s="25" customFormat="1" ht="18.75" customHeight="1">
      <c r="B8" s="68"/>
      <c r="C8" s="381" t="s">
        <v>413</v>
      </c>
      <c r="D8" s="382"/>
      <c r="E8" s="383"/>
      <c r="F8" s="68"/>
      <c r="G8" s="383">
        <v>18715.62</v>
      </c>
    </row>
    <row r="9" spans="2:7" s="25" customFormat="1" ht="18.75" customHeight="1">
      <c r="B9" s="68"/>
      <c r="C9" s="381" t="s">
        <v>415</v>
      </c>
      <c r="D9" s="382"/>
      <c r="E9" s="383"/>
      <c r="F9" s="68"/>
      <c r="G9" s="383">
        <v>775000</v>
      </c>
    </row>
    <row r="10" spans="2:7" s="25" customFormat="1" ht="18.75" customHeight="1">
      <c r="B10" s="68"/>
      <c r="C10" s="381" t="s">
        <v>417</v>
      </c>
      <c r="D10" s="382"/>
      <c r="E10" s="383"/>
      <c r="F10" s="68"/>
      <c r="G10" s="383">
        <v>534714</v>
      </c>
    </row>
    <row r="11" spans="2:7" s="25" customFormat="1" ht="18.75" customHeight="1">
      <c r="B11" s="68"/>
      <c r="C11" s="381" t="s">
        <v>419</v>
      </c>
      <c r="D11" s="382"/>
      <c r="E11" s="383"/>
      <c r="F11" s="68"/>
      <c r="G11" s="383">
        <v>3949</v>
      </c>
    </row>
    <row r="12" spans="2:7" s="25" customFormat="1" ht="18.75" customHeight="1">
      <c r="B12" s="68"/>
      <c r="C12" s="381" t="s">
        <v>421</v>
      </c>
      <c r="D12" s="382"/>
      <c r="E12" s="383"/>
      <c r="F12" s="68"/>
      <c r="G12" s="383">
        <v>13600</v>
      </c>
    </row>
    <row r="13" spans="2:7" s="25" customFormat="1" ht="18.75" customHeight="1">
      <c r="B13" s="68"/>
      <c r="C13" s="381" t="s">
        <v>422</v>
      </c>
      <c r="D13" s="382"/>
      <c r="E13" s="383"/>
      <c r="F13" s="68"/>
      <c r="G13" s="383">
        <v>19.4</v>
      </c>
    </row>
    <row r="14" spans="2:7" s="25" customFormat="1" ht="18.75" customHeight="1">
      <c r="B14" s="68"/>
      <c r="C14" s="381" t="s">
        <v>424</v>
      </c>
      <c r="D14" s="382"/>
      <c r="E14" s="383"/>
      <c r="F14" s="68"/>
      <c r="G14" s="383">
        <v>25890</v>
      </c>
    </row>
    <row r="15" spans="2:7" s="25" customFormat="1" ht="18.75" customHeight="1">
      <c r="B15" s="68"/>
      <c r="C15" s="381" t="s">
        <v>425</v>
      </c>
      <c r="D15" s="382"/>
      <c r="E15" s="383"/>
      <c r="F15" s="68"/>
      <c r="G15" s="383">
        <v>650561.9</v>
      </c>
    </row>
    <row r="16" spans="2:7" s="25" customFormat="1" ht="18.75" customHeight="1">
      <c r="B16" s="68"/>
      <c r="C16" s="381" t="s">
        <v>426</v>
      </c>
      <c r="D16" s="382"/>
      <c r="E16" s="383"/>
      <c r="F16" s="68"/>
      <c r="G16" s="383">
        <v>10000</v>
      </c>
    </row>
    <row r="17" spans="2:7" s="25" customFormat="1" ht="18.75" customHeight="1">
      <c r="B17" s="68"/>
      <c r="C17" s="381" t="s">
        <v>427</v>
      </c>
      <c r="D17" s="382"/>
      <c r="E17" s="383"/>
      <c r="F17" s="68"/>
      <c r="G17" s="383">
        <v>32490</v>
      </c>
    </row>
    <row r="18" spans="2:7" s="25" customFormat="1" ht="18.75" customHeight="1">
      <c r="B18" s="68"/>
      <c r="C18" s="381" t="s">
        <v>428</v>
      </c>
      <c r="D18" s="382"/>
      <c r="E18" s="383"/>
      <c r="F18" s="68"/>
      <c r="G18" s="383">
        <v>3429.15</v>
      </c>
    </row>
    <row r="19" spans="2:7" s="25" customFormat="1" ht="18.75" customHeight="1">
      <c r="B19" s="68"/>
      <c r="C19" s="381" t="s">
        <v>429</v>
      </c>
      <c r="D19" s="382"/>
      <c r="E19" s="383"/>
      <c r="F19" s="68"/>
      <c r="G19" s="383">
        <v>35480.96</v>
      </c>
    </row>
    <row r="20" spans="3:7" s="25" customFormat="1" ht="18.75" customHeight="1" thickBot="1">
      <c r="C20" s="4" t="s">
        <v>117</v>
      </c>
      <c r="D20" s="4"/>
      <c r="G20" s="32">
        <f>SUM(G6:G19)</f>
        <v>2146950.84</v>
      </c>
    </row>
    <row r="21" s="25" customFormat="1" ht="18.75" customHeight="1" thickTop="1">
      <c r="G21" s="28"/>
    </row>
    <row r="22" spans="2:7" s="25" customFormat="1" ht="18.75" customHeight="1" hidden="1">
      <c r="B22" s="669" t="s">
        <v>86</v>
      </c>
      <c r="C22" s="669"/>
      <c r="D22" s="669"/>
      <c r="E22" s="669"/>
      <c r="F22" s="669"/>
      <c r="G22" s="669"/>
    </row>
    <row r="23" spans="3:7" s="25" customFormat="1" ht="18.75" customHeight="1" hidden="1">
      <c r="C23" s="25" t="s">
        <v>221</v>
      </c>
      <c r="G23" s="28">
        <v>0</v>
      </c>
    </row>
    <row r="24" spans="3:7" s="25" customFormat="1" ht="18.75" customHeight="1" hidden="1" thickBot="1">
      <c r="C24" s="4" t="s">
        <v>117</v>
      </c>
      <c r="G24" s="29">
        <v>0</v>
      </c>
    </row>
    <row r="25" s="25" customFormat="1" ht="18.75" customHeight="1" hidden="1" thickTop="1">
      <c r="G25" s="28"/>
    </row>
    <row r="26" spans="2:7" s="25" customFormat="1" ht="18.75" customHeight="1" hidden="1">
      <c r="B26" s="669" t="s">
        <v>87</v>
      </c>
      <c r="C26" s="669"/>
      <c r="D26" s="669"/>
      <c r="E26" s="669"/>
      <c r="F26" s="669"/>
      <c r="G26" s="669"/>
    </row>
    <row r="27" spans="2:7" s="25" customFormat="1" ht="18.75" customHeight="1" hidden="1">
      <c r="B27" s="687" t="s">
        <v>222</v>
      </c>
      <c r="C27" s="687" t="s">
        <v>223</v>
      </c>
      <c r="D27" s="687" t="s">
        <v>224</v>
      </c>
      <c r="E27" s="686" t="s">
        <v>225</v>
      </c>
      <c r="F27" s="686"/>
      <c r="G27" s="687" t="s">
        <v>228</v>
      </c>
    </row>
    <row r="28" spans="2:7" s="25" customFormat="1" ht="18.75" customHeight="1" hidden="1">
      <c r="B28" s="688"/>
      <c r="C28" s="688"/>
      <c r="D28" s="688"/>
      <c r="E28" s="41" t="s">
        <v>226</v>
      </c>
      <c r="F28" s="41" t="s">
        <v>227</v>
      </c>
      <c r="G28" s="688"/>
    </row>
    <row r="29" spans="2:7" s="25" customFormat="1" ht="18.75" customHeight="1" hidden="1">
      <c r="B29" s="143"/>
      <c r="C29" s="143"/>
      <c r="D29" s="143"/>
      <c r="E29" s="143"/>
      <c r="F29" s="143"/>
      <c r="G29" s="143"/>
    </row>
    <row r="30" spans="2:7" s="68" customFormat="1" ht="18.75" customHeight="1" hidden="1">
      <c r="B30" s="118"/>
      <c r="C30" s="118"/>
      <c r="D30" s="118"/>
      <c r="E30" s="118"/>
      <c r="F30" s="118"/>
      <c r="G30" s="26"/>
    </row>
    <row r="31" spans="2:7" s="68" customFormat="1" ht="18.75" customHeight="1" hidden="1">
      <c r="B31" s="670" t="s">
        <v>117</v>
      </c>
      <c r="C31" s="672"/>
      <c r="D31" s="144"/>
      <c r="E31" s="144"/>
      <c r="F31" s="144"/>
      <c r="G31" s="145"/>
    </row>
    <row r="32" s="25" customFormat="1" ht="18.75" customHeight="1" hidden="1">
      <c r="B32" s="5" t="s">
        <v>476</v>
      </c>
    </row>
    <row r="33" s="25" customFormat="1" ht="18.75" customHeight="1" hidden="1">
      <c r="B33" s="25" t="s">
        <v>145</v>
      </c>
    </row>
    <row r="34" spans="2:7" s="25" customFormat="1" ht="18.75" customHeight="1" hidden="1">
      <c r="B34" s="669" t="s">
        <v>88</v>
      </c>
      <c r="C34" s="669"/>
      <c r="D34" s="669"/>
      <c r="E34" s="669"/>
      <c r="F34" s="669"/>
      <c r="G34" s="669"/>
    </row>
    <row r="35" spans="3:7" s="25" customFormat="1" ht="18.75" customHeight="1" hidden="1">
      <c r="C35" s="25" t="s">
        <v>229</v>
      </c>
      <c r="G35" s="28">
        <v>0</v>
      </c>
    </row>
    <row r="36" spans="3:7" s="25" customFormat="1" ht="18.75" customHeight="1" hidden="1" thickBot="1">
      <c r="C36" s="4" t="s">
        <v>117</v>
      </c>
      <c r="G36" s="29">
        <v>0</v>
      </c>
    </row>
    <row r="37" s="25" customFormat="1" ht="21">
      <c r="G37" s="28"/>
    </row>
    <row r="38" s="25" customFormat="1" ht="31.5" customHeight="1">
      <c r="G38" s="28"/>
    </row>
    <row r="39" s="25" customFormat="1" ht="21"/>
  </sheetData>
  <sheetProtection/>
  <mergeCells count="13">
    <mergeCell ref="B31:C31"/>
    <mergeCell ref="B26:G26"/>
    <mergeCell ref="B34:G34"/>
    <mergeCell ref="B5:G5"/>
    <mergeCell ref="B1:G1"/>
    <mergeCell ref="B2:G2"/>
    <mergeCell ref="B3:G3"/>
    <mergeCell ref="B22:G22"/>
    <mergeCell ref="E27:F27"/>
    <mergeCell ref="B27:B28"/>
    <mergeCell ref="C27:C28"/>
    <mergeCell ref="D27:D28"/>
    <mergeCell ref="G27:G28"/>
  </mergeCells>
  <printOptions/>
  <pageMargins left="0.79" right="0.27" top="0.34" bottom="0.25" header="0.2" footer="0.17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I29"/>
  <sheetViews>
    <sheetView view="pageBreakPreview" zoomScaleSheetLayoutView="100" zoomScalePageLayoutView="0" workbookViewId="0" topLeftCell="A16">
      <selection activeCell="B30" sqref="B30"/>
    </sheetView>
  </sheetViews>
  <sheetFormatPr defaultColWidth="9.140625" defaultRowHeight="12.75"/>
  <cols>
    <col min="1" max="1" width="2.28125" style="25" customWidth="1"/>
    <col min="2" max="2" width="10.00390625" style="25" customWidth="1"/>
    <col min="3" max="3" width="10.421875" style="25" customWidth="1"/>
    <col min="4" max="4" width="16.57421875" style="25" customWidth="1"/>
    <col min="5" max="5" width="9.28125" style="25" customWidth="1"/>
    <col min="6" max="6" width="14.57421875" style="28" customWidth="1"/>
    <col min="7" max="7" width="15.140625" style="28" customWidth="1"/>
    <col min="8" max="8" width="15.57421875" style="28" customWidth="1"/>
    <col min="9" max="9" width="15.28125" style="28" customWidth="1"/>
    <col min="10" max="10" width="2.421875" style="25" customWidth="1"/>
    <col min="11" max="16384" width="9.140625" style="25" customWidth="1"/>
  </cols>
  <sheetData>
    <row r="1" spans="2:9" ht="21.75" customHeight="1">
      <c r="B1" s="653" t="s">
        <v>168</v>
      </c>
      <c r="C1" s="653"/>
      <c r="D1" s="653"/>
      <c r="E1" s="653"/>
      <c r="F1" s="653"/>
      <c r="G1" s="653"/>
      <c r="H1" s="653"/>
      <c r="I1" s="76"/>
    </row>
    <row r="2" spans="2:8" ht="21.75" customHeight="1">
      <c r="B2" s="653" t="s">
        <v>58</v>
      </c>
      <c r="C2" s="653"/>
      <c r="D2" s="653"/>
      <c r="E2" s="653"/>
      <c r="F2" s="653"/>
      <c r="G2" s="653"/>
      <c r="H2" s="653"/>
    </row>
    <row r="3" spans="2:8" ht="21.75" customHeight="1">
      <c r="B3" s="653" t="s">
        <v>545</v>
      </c>
      <c r="C3" s="653"/>
      <c r="D3" s="653"/>
      <c r="E3" s="653"/>
      <c r="F3" s="653"/>
      <c r="G3" s="653"/>
      <c r="H3" s="653"/>
    </row>
    <row r="4" spans="2:8" ht="21.75" customHeight="1">
      <c r="B4" s="669" t="s">
        <v>662</v>
      </c>
      <c r="C4" s="669"/>
      <c r="D4" s="669"/>
      <c r="E4" s="669"/>
      <c r="F4" s="669"/>
      <c r="G4" s="669"/>
      <c r="H4" s="669"/>
    </row>
    <row r="5" spans="2:8" ht="21.75" customHeight="1">
      <c r="B5" s="25" t="s">
        <v>477</v>
      </c>
      <c r="H5" s="28">
        <v>21478645.97</v>
      </c>
    </row>
    <row r="6" spans="2:9" s="39" customFormat="1" ht="21.75" customHeight="1">
      <c r="B6" s="39" t="s">
        <v>89</v>
      </c>
      <c r="E6" s="47"/>
      <c r="F6" s="47">
        <f>4284388.35+12853165.06</f>
        <v>17137553.41</v>
      </c>
      <c r="G6" s="47"/>
      <c r="H6" s="47"/>
      <c r="I6" s="47"/>
    </row>
    <row r="7" spans="2:9" s="39" customFormat="1" ht="21.75" customHeight="1">
      <c r="B7" s="46" t="s">
        <v>91</v>
      </c>
      <c r="F7" s="47"/>
      <c r="G7" s="47"/>
      <c r="H7" s="47"/>
      <c r="I7" s="47"/>
    </row>
    <row r="8" spans="2:9" s="39" customFormat="1" ht="21.75" customHeight="1">
      <c r="B8" s="39" t="s">
        <v>90</v>
      </c>
      <c r="E8" s="106"/>
      <c r="F8" s="386">
        <f>+F6*0.25</f>
        <v>4284388.3525</v>
      </c>
      <c r="G8" s="47"/>
      <c r="H8" s="47"/>
      <c r="I8" s="47"/>
    </row>
    <row r="9" spans="2:9" s="39" customFormat="1" ht="21.75" customHeight="1">
      <c r="B9" s="46" t="s">
        <v>92</v>
      </c>
      <c r="E9" s="106"/>
      <c r="F9" s="47"/>
      <c r="G9" s="47">
        <f>+F6-F8</f>
        <v>12853165.057500001</v>
      </c>
      <c r="H9" s="47"/>
      <c r="I9" s="47"/>
    </row>
    <row r="10" spans="2:7" ht="21.75" customHeight="1">
      <c r="B10" s="25" t="s">
        <v>478</v>
      </c>
      <c r="G10" s="28">
        <v>714696</v>
      </c>
    </row>
    <row r="11" spans="2:7" ht="21.75" customHeight="1">
      <c r="B11" s="25" t="s">
        <v>504</v>
      </c>
      <c r="G11" s="34">
        <v>876060</v>
      </c>
    </row>
    <row r="12" spans="2:7" ht="21.75" customHeight="1">
      <c r="B12" s="25" t="s">
        <v>506</v>
      </c>
      <c r="G12" s="77"/>
    </row>
    <row r="13" ht="21.75" customHeight="1">
      <c r="F13" s="34"/>
    </row>
    <row r="14" spans="2:8" ht="21.75" customHeight="1">
      <c r="B14" s="4" t="s">
        <v>152</v>
      </c>
      <c r="F14" s="34"/>
      <c r="G14" s="28">
        <v>2376000</v>
      </c>
      <c r="H14" s="25"/>
    </row>
    <row r="15" spans="2:9" ht="21.75" customHeight="1">
      <c r="B15" s="25" t="s">
        <v>505</v>
      </c>
      <c r="F15" s="34"/>
      <c r="G15" s="77">
        <f>30000+890.89</f>
        <v>30890.89</v>
      </c>
      <c r="H15" s="77">
        <f>+G9+G10+G11+G12-G14-G15</f>
        <v>12037030.1675</v>
      </c>
      <c r="I15" s="25"/>
    </row>
    <row r="16" spans="2:8" ht="21.75" customHeight="1" thickBot="1">
      <c r="B16" s="25" t="s">
        <v>171</v>
      </c>
      <c r="F16" s="34"/>
      <c r="H16" s="32">
        <f>+H5+H15</f>
        <v>33515676.1375</v>
      </c>
    </row>
    <row r="17" ht="21.75" customHeight="1" thickTop="1">
      <c r="F17" s="34"/>
    </row>
    <row r="18" ht="21.75" customHeight="1">
      <c r="B18" s="25" t="s">
        <v>507</v>
      </c>
    </row>
    <row r="19" spans="2:8" ht="21.75" customHeight="1">
      <c r="B19" s="25" t="s">
        <v>508</v>
      </c>
      <c r="F19" s="424"/>
      <c r="G19" s="25"/>
      <c r="H19" s="424">
        <v>103120</v>
      </c>
    </row>
    <row r="20" spans="2:8" ht="21.75" customHeight="1">
      <c r="B20" s="25" t="s">
        <v>509</v>
      </c>
      <c r="F20" s="424"/>
      <c r="G20" s="25"/>
      <c r="H20" s="424">
        <v>14060.22</v>
      </c>
    </row>
    <row r="21" spans="2:8" ht="21.75" customHeight="1">
      <c r="B21" s="25" t="s">
        <v>510</v>
      </c>
      <c r="F21" s="424"/>
      <c r="G21" s="25"/>
      <c r="H21" s="424">
        <v>0</v>
      </c>
    </row>
    <row r="22" spans="2:8" ht="21.75" customHeight="1" hidden="1">
      <c r="B22" s="25" t="s">
        <v>511</v>
      </c>
      <c r="F22" s="424"/>
      <c r="G22" s="25"/>
      <c r="H22" s="424">
        <v>0</v>
      </c>
    </row>
    <row r="23" spans="6:8" ht="21.75" customHeight="1" hidden="1">
      <c r="F23" s="424"/>
      <c r="G23" s="25"/>
      <c r="H23" s="424"/>
    </row>
    <row r="24" spans="6:8" ht="21.75" customHeight="1" hidden="1">
      <c r="F24" s="424"/>
      <c r="G24" s="25"/>
      <c r="H24" s="424"/>
    </row>
    <row r="25" spans="2:8" ht="21.75" customHeight="1">
      <c r="B25" s="25" t="s">
        <v>512</v>
      </c>
      <c r="F25" s="424"/>
      <c r="G25" s="25"/>
      <c r="H25" s="424">
        <f>H16-H19-H20-H21</f>
        <v>33398495.9175</v>
      </c>
    </row>
    <row r="26" spans="6:8" ht="21.75" customHeight="1" thickBot="1">
      <c r="F26" s="424"/>
      <c r="G26" s="25"/>
      <c r="H26" s="425">
        <f>SUM(H19:H25)</f>
        <v>33515676.1375</v>
      </c>
    </row>
    <row r="27" spans="6:8" ht="21.75" customHeight="1" thickTop="1">
      <c r="F27" s="424"/>
      <c r="G27" s="25"/>
      <c r="H27" s="426"/>
    </row>
    <row r="28" spans="2:8" s="427" customFormat="1" ht="21.75" customHeight="1">
      <c r="B28" s="4" t="s">
        <v>513</v>
      </c>
      <c r="F28" s="428"/>
      <c r="H28" s="428"/>
    </row>
    <row r="29" spans="2:8" s="427" customFormat="1" ht="21">
      <c r="B29" s="31" t="s">
        <v>682</v>
      </c>
      <c r="F29" s="428"/>
      <c r="H29" s="428"/>
    </row>
  </sheetData>
  <sheetProtection/>
  <mergeCells count="4">
    <mergeCell ref="B1:H1"/>
    <mergeCell ref="B2:H2"/>
    <mergeCell ref="B3:H3"/>
    <mergeCell ref="B4:H4"/>
  </mergeCells>
  <printOptions/>
  <pageMargins left="0.7086614173228347" right="0.31496062992125984" top="0.5511811023622047" bottom="0.6692913385826772" header="0.3149606299212598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2:I38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28125" style="1" customWidth="1"/>
    <col min="2" max="2" width="16.8515625" style="1" customWidth="1"/>
    <col min="3" max="3" width="20.57421875" style="1" customWidth="1"/>
    <col min="4" max="4" width="39.28125" style="1" customWidth="1"/>
    <col min="5" max="9" width="13.00390625" style="1" customWidth="1"/>
    <col min="10" max="10" width="8.7109375" style="1" customWidth="1"/>
    <col min="11" max="16384" width="9.140625" style="1" customWidth="1"/>
  </cols>
  <sheetData>
    <row r="1" s="40" customFormat="1" ht="11.25" customHeight="1"/>
    <row r="2" spans="2:9" s="40" customFormat="1" ht="24" customHeight="1">
      <c r="B2" s="653" t="s">
        <v>168</v>
      </c>
      <c r="C2" s="653"/>
      <c r="D2" s="653"/>
      <c r="E2" s="653"/>
      <c r="F2" s="653"/>
      <c r="G2" s="653"/>
      <c r="H2" s="653"/>
      <c r="I2" s="653"/>
    </row>
    <row r="3" spans="2:9" s="40" customFormat="1" ht="20.25" customHeight="1">
      <c r="B3" s="653" t="s">
        <v>58</v>
      </c>
      <c r="C3" s="653"/>
      <c r="D3" s="653"/>
      <c r="E3" s="653"/>
      <c r="F3" s="653"/>
      <c r="G3" s="653"/>
      <c r="H3" s="653"/>
      <c r="I3" s="653"/>
    </row>
    <row r="4" spans="2:9" s="40" customFormat="1" ht="23.25" customHeight="1">
      <c r="B4" s="653" t="s">
        <v>545</v>
      </c>
      <c r="C4" s="653"/>
      <c r="D4" s="653"/>
      <c r="E4" s="653"/>
      <c r="F4" s="653"/>
      <c r="G4" s="653"/>
      <c r="H4" s="653"/>
      <c r="I4" s="653"/>
    </row>
    <row r="5" spans="2:9" s="40" customFormat="1" ht="24.75" customHeight="1" thickBot="1">
      <c r="B5" s="109" t="s">
        <v>663</v>
      </c>
      <c r="C5" s="54"/>
      <c r="D5" s="54"/>
      <c r="E5" s="54"/>
      <c r="F5" s="54"/>
      <c r="G5" s="54"/>
      <c r="H5" s="54"/>
      <c r="I5" s="54"/>
    </row>
    <row r="6" spans="2:9" s="5" customFormat="1" ht="25.5" customHeight="1">
      <c r="B6" s="692" t="s">
        <v>1</v>
      </c>
      <c r="C6" s="694" t="s">
        <v>162</v>
      </c>
      <c r="D6" s="696" t="s">
        <v>80</v>
      </c>
      <c r="E6" s="694" t="s">
        <v>119</v>
      </c>
      <c r="F6" s="694" t="s">
        <v>114</v>
      </c>
      <c r="G6" s="699" t="s">
        <v>115</v>
      </c>
      <c r="H6" s="699" t="s">
        <v>116</v>
      </c>
      <c r="I6" s="704" t="s">
        <v>120</v>
      </c>
    </row>
    <row r="7" spans="2:9" s="5" customFormat="1" ht="36" customHeight="1" thickBot="1">
      <c r="B7" s="693"/>
      <c r="C7" s="695"/>
      <c r="D7" s="697"/>
      <c r="E7" s="698"/>
      <c r="F7" s="698"/>
      <c r="G7" s="700"/>
      <c r="H7" s="700"/>
      <c r="I7" s="705"/>
    </row>
    <row r="8" spans="2:9" s="40" customFormat="1" ht="39" customHeight="1">
      <c r="B8" s="532" t="s">
        <v>23</v>
      </c>
      <c r="C8" s="533" t="s">
        <v>10</v>
      </c>
      <c r="D8" s="534" t="s">
        <v>666</v>
      </c>
      <c r="E8" s="535">
        <v>500000</v>
      </c>
      <c r="F8" s="535">
        <v>490000</v>
      </c>
      <c r="G8" s="535">
        <f>+F8</f>
        <v>490000</v>
      </c>
      <c r="H8" s="535">
        <f>+E8-G8</f>
        <v>10000</v>
      </c>
      <c r="I8" s="536">
        <f>+H8</f>
        <v>10000</v>
      </c>
    </row>
    <row r="9" spans="2:9" s="40" customFormat="1" ht="39" customHeight="1">
      <c r="B9" s="537" t="s">
        <v>23</v>
      </c>
      <c r="C9" s="538" t="s">
        <v>10</v>
      </c>
      <c r="D9" s="539" t="s">
        <v>668</v>
      </c>
      <c r="E9" s="151">
        <v>1110000</v>
      </c>
      <c r="F9" s="151">
        <v>1108000</v>
      </c>
      <c r="G9" s="151">
        <f>+F9</f>
        <v>1108000</v>
      </c>
      <c r="H9" s="151">
        <f>+E9-G9</f>
        <v>2000</v>
      </c>
      <c r="I9" s="540">
        <f>+H9</f>
        <v>2000</v>
      </c>
    </row>
    <row r="10" spans="2:9" s="40" customFormat="1" ht="39" customHeight="1">
      <c r="B10" s="537" t="s">
        <v>23</v>
      </c>
      <c r="C10" s="538" t="s">
        <v>10</v>
      </c>
      <c r="D10" s="539" t="s">
        <v>667</v>
      </c>
      <c r="E10" s="151">
        <v>780300</v>
      </c>
      <c r="F10" s="151">
        <v>778000</v>
      </c>
      <c r="G10" s="151">
        <f>+F10</f>
        <v>778000</v>
      </c>
      <c r="H10" s="151">
        <f>+E10-G10</f>
        <v>2300</v>
      </c>
      <c r="I10" s="540">
        <f>+H10</f>
        <v>2300</v>
      </c>
    </row>
    <row r="11" spans="2:9" s="40" customFormat="1" ht="39" customHeight="1">
      <c r="B11" s="537"/>
      <c r="C11" s="538"/>
      <c r="D11" s="541"/>
      <c r="E11" s="151"/>
      <c r="F11" s="151"/>
      <c r="G11" s="151"/>
      <c r="H11" s="151"/>
      <c r="I11" s="540"/>
    </row>
    <row r="12" spans="2:9" s="40" customFormat="1" ht="39" customHeight="1" thickBot="1">
      <c r="B12" s="542"/>
      <c r="C12" s="543"/>
      <c r="D12" s="544"/>
      <c r="E12" s="545"/>
      <c r="F12" s="545"/>
      <c r="G12" s="545"/>
      <c r="H12" s="545"/>
      <c r="I12" s="546"/>
    </row>
    <row r="13" spans="2:9" s="42" customFormat="1" ht="30.75" customHeight="1" thickBot="1">
      <c r="B13" s="701" t="s">
        <v>117</v>
      </c>
      <c r="C13" s="702"/>
      <c r="D13" s="703"/>
      <c r="E13" s="384">
        <f>SUM(E8:E12)</f>
        <v>2390300</v>
      </c>
      <c r="F13" s="384">
        <f>SUM(F8:F12)</f>
        <v>2376000</v>
      </c>
      <c r="G13" s="384">
        <f>SUM(G8:G12)</f>
        <v>2376000</v>
      </c>
      <c r="H13" s="384">
        <f>SUM(H8:H12)</f>
        <v>14300</v>
      </c>
      <c r="I13" s="385">
        <f>SUM(I8:I12)</f>
        <v>14300</v>
      </c>
    </row>
    <row r="14" ht="18" thickTop="1"/>
    <row r="24" spans="2:9" s="40" customFormat="1" ht="24" customHeight="1">
      <c r="B24" s="653" t="s">
        <v>168</v>
      </c>
      <c r="C24" s="653"/>
      <c r="D24" s="653"/>
      <c r="E24" s="653"/>
      <c r="F24" s="653"/>
      <c r="G24" s="653"/>
      <c r="H24" s="653"/>
      <c r="I24" s="653"/>
    </row>
    <row r="25" spans="2:9" s="40" customFormat="1" ht="20.25" customHeight="1">
      <c r="B25" s="653" t="s">
        <v>58</v>
      </c>
      <c r="C25" s="653"/>
      <c r="D25" s="653"/>
      <c r="E25" s="653"/>
      <c r="F25" s="653"/>
      <c r="G25" s="653"/>
      <c r="H25" s="653"/>
      <c r="I25" s="653"/>
    </row>
    <row r="26" spans="2:9" s="40" customFormat="1" ht="23.25" customHeight="1">
      <c r="B26" s="653" t="s">
        <v>170</v>
      </c>
      <c r="C26" s="653"/>
      <c r="D26" s="653"/>
      <c r="E26" s="653"/>
      <c r="F26" s="653"/>
      <c r="G26" s="653"/>
      <c r="H26" s="653"/>
      <c r="I26" s="653"/>
    </row>
    <row r="27" spans="2:9" s="40" customFormat="1" ht="24.75" customHeight="1" thickBot="1">
      <c r="B27" s="109" t="s">
        <v>230</v>
      </c>
      <c r="C27" s="54"/>
      <c r="D27" s="54"/>
      <c r="E27" s="54"/>
      <c r="F27" s="54"/>
      <c r="G27" s="54"/>
      <c r="H27" s="54"/>
      <c r="I27" s="54"/>
    </row>
    <row r="28" spans="2:9" s="5" customFormat="1" ht="25.5" customHeight="1">
      <c r="B28" s="692" t="s">
        <v>1</v>
      </c>
      <c r="C28" s="694" t="s">
        <v>162</v>
      </c>
      <c r="D28" s="696" t="s">
        <v>80</v>
      </c>
      <c r="E28" s="694" t="s">
        <v>119</v>
      </c>
      <c r="F28" s="694" t="s">
        <v>114</v>
      </c>
      <c r="G28" s="699" t="s">
        <v>115</v>
      </c>
      <c r="H28" s="699" t="s">
        <v>116</v>
      </c>
      <c r="I28" s="704" t="s">
        <v>120</v>
      </c>
    </row>
    <row r="29" spans="2:9" s="5" customFormat="1" ht="36" customHeight="1" thickBot="1">
      <c r="B29" s="693"/>
      <c r="C29" s="695"/>
      <c r="D29" s="697"/>
      <c r="E29" s="698"/>
      <c r="F29" s="698"/>
      <c r="G29" s="700"/>
      <c r="H29" s="700"/>
      <c r="I29" s="705"/>
    </row>
    <row r="30" spans="2:9" s="40" customFormat="1" ht="26.25" customHeight="1">
      <c r="B30" s="110"/>
      <c r="C30" s="55"/>
      <c r="D30" s="111"/>
      <c r="E30" s="50"/>
      <c r="F30" s="50"/>
      <c r="G30" s="50"/>
      <c r="H30" s="50"/>
      <c r="I30" s="70"/>
    </row>
    <row r="31" spans="2:9" s="40" customFormat="1" ht="26.25" customHeight="1">
      <c r="B31" s="110"/>
      <c r="C31" s="55"/>
      <c r="D31" s="111"/>
      <c r="E31" s="50"/>
      <c r="F31" s="50"/>
      <c r="G31" s="50"/>
      <c r="H31" s="50"/>
      <c r="I31" s="70"/>
    </row>
    <row r="32" spans="2:9" s="40" customFormat="1" ht="26.25" customHeight="1">
      <c r="B32" s="110"/>
      <c r="C32" s="55"/>
      <c r="D32" s="111"/>
      <c r="E32" s="50"/>
      <c r="F32" s="50"/>
      <c r="G32" s="50"/>
      <c r="H32" s="50"/>
      <c r="I32" s="70"/>
    </row>
    <row r="33" spans="2:9" s="40" customFormat="1" ht="26.25" customHeight="1">
      <c r="B33" s="110"/>
      <c r="C33" s="55"/>
      <c r="D33" s="107"/>
      <c r="E33" s="50"/>
      <c r="F33" s="50"/>
      <c r="G33" s="50"/>
      <c r="H33" s="50"/>
      <c r="I33" s="70"/>
    </row>
    <row r="34" spans="2:9" s="40" customFormat="1" ht="26.25" customHeight="1">
      <c r="B34" s="110"/>
      <c r="C34" s="55"/>
      <c r="D34" s="107"/>
      <c r="E34" s="50"/>
      <c r="F34" s="50"/>
      <c r="G34" s="50"/>
      <c r="H34" s="50"/>
      <c r="I34" s="70"/>
    </row>
    <row r="35" spans="2:9" s="40" customFormat="1" ht="26.25" customHeight="1">
      <c r="B35" s="110"/>
      <c r="C35" s="55"/>
      <c r="D35" s="107"/>
      <c r="E35" s="50"/>
      <c r="F35" s="50"/>
      <c r="G35" s="50"/>
      <c r="H35" s="50"/>
      <c r="I35" s="70"/>
    </row>
    <row r="36" spans="2:9" s="40" customFormat="1" ht="26.25" customHeight="1">
      <c r="B36" s="110"/>
      <c r="C36" s="55"/>
      <c r="D36" s="107"/>
      <c r="E36" s="50"/>
      <c r="F36" s="50"/>
      <c r="G36" s="50"/>
      <c r="H36" s="50"/>
      <c r="I36" s="70"/>
    </row>
    <row r="37" spans="2:9" s="40" customFormat="1" ht="26.25" customHeight="1" thickBot="1">
      <c r="B37" s="112"/>
      <c r="C37" s="113"/>
      <c r="D37" s="108"/>
      <c r="E37" s="64"/>
      <c r="F37" s="64"/>
      <c r="G37" s="64"/>
      <c r="H37" s="64"/>
      <c r="I37" s="71"/>
    </row>
    <row r="38" spans="2:9" s="5" customFormat="1" ht="30.75" customHeight="1" thickBot="1">
      <c r="B38" s="689"/>
      <c r="C38" s="690"/>
      <c r="D38" s="691"/>
      <c r="E38" s="43">
        <f>SUM(E30:E37)</f>
        <v>0</v>
      </c>
      <c r="F38" s="43">
        <f>SUM(F30:F37)</f>
        <v>0</v>
      </c>
      <c r="G38" s="43">
        <f>SUM(G30:G37)</f>
        <v>0</v>
      </c>
      <c r="H38" s="43">
        <f>SUM(H30:H37)</f>
        <v>0</v>
      </c>
      <c r="I38" s="114">
        <f>SUM(I30:I37)</f>
        <v>0</v>
      </c>
    </row>
    <row r="39" ht="18" thickTop="1"/>
  </sheetData>
  <sheetProtection/>
  <mergeCells count="24">
    <mergeCell ref="B13:D13"/>
    <mergeCell ref="H6:H7"/>
    <mergeCell ref="I6:I7"/>
    <mergeCell ref="B6:B7"/>
    <mergeCell ref="G28:G29"/>
    <mergeCell ref="H28:H29"/>
    <mergeCell ref="I28:I29"/>
    <mergeCell ref="B2:I2"/>
    <mergeCell ref="B3:I3"/>
    <mergeCell ref="B4:I4"/>
    <mergeCell ref="D6:D7"/>
    <mergeCell ref="F6:F7"/>
    <mergeCell ref="G6:G7"/>
    <mergeCell ref="C6:C7"/>
    <mergeCell ref="E6:E7"/>
    <mergeCell ref="B38:D38"/>
    <mergeCell ref="B24:I24"/>
    <mergeCell ref="B25:I25"/>
    <mergeCell ref="B26:I26"/>
    <mergeCell ref="B28:B29"/>
    <mergeCell ref="C28:C29"/>
    <mergeCell ref="D28:D29"/>
    <mergeCell ref="E28:E29"/>
    <mergeCell ref="F28:F29"/>
  </mergeCells>
  <printOptions/>
  <pageMargins left="0.3" right="0.15748031496062992" top="0.4724409448818898" bottom="0.2362204724409449" header="0.2362204724409449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showGridLines="0" view="pageBreakPreview" zoomScale="110" zoomScaleSheetLayoutView="110" zoomScalePageLayoutView="0" workbookViewId="0" topLeftCell="A16">
      <selection activeCell="I22" sqref="I22"/>
    </sheetView>
  </sheetViews>
  <sheetFormatPr defaultColWidth="9.140625" defaultRowHeight="21.75" customHeight="1"/>
  <cols>
    <col min="1" max="1" width="30.7109375" style="25" customWidth="1"/>
    <col min="2" max="2" width="20.7109375" style="592" customWidth="1"/>
    <col min="3" max="3" width="16.28125" style="25" hidden="1" customWidth="1"/>
    <col min="4" max="4" width="32.7109375" style="25" customWidth="1"/>
    <col min="5" max="16384" width="9.140625" style="25" customWidth="1"/>
  </cols>
  <sheetData>
    <row r="1" spans="1:4" ht="21.75" customHeight="1">
      <c r="A1" s="626" t="s">
        <v>165</v>
      </c>
      <c r="B1" s="626"/>
      <c r="C1" s="626"/>
      <c r="D1" s="626"/>
    </row>
    <row r="2" spans="1:4" ht="21.75" customHeight="1">
      <c r="A2" s="626" t="s">
        <v>670</v>
      </c>
      <c r="B2" s="626"/>
      <c r="C2" s="626"/>
      <c r="D2" s="626"/>
    </row>
    <row r="3" spans="1:4" ht="21.75" customHeight="1">
      <c r="A3" s="627" t="s">
        <v>523</v>
      </c>
      <c r="B3" s="627"/>
      <c r="C3" s="627"/>
      <c r="D3" s="627"/>
    </row>
    <row r="4" spans="1:4" ht="21.75" customHeight="1">
      <c r="A4" s="706" t="s">
        <v>130</v>
      </c>
      <c r="B4" s="707"/>
      <c r="C4" s="570" t="s">
        <v>649</v>
      </c>
      <c r="D4" s="571" t="s">
        <v>671</v>
      </c>
    </row>
    <row r="5" spans="1:4" ht="21.75" customHeight="1">
      <c r="A5" s="572" t="s">
        <v>672</v>
      </c>
      <c r="B5" s="573"/>
      <c r="C5" s="574"/>
      <c r="D5" s="575">
        <f>81915595.09-D9</f>
        <v>80324839.09</v>
      </c>
    </row>
    <row r="6" spans="1:4" ht="21.75" customHeight="1">
      <c r="A6" s="576" t="s">
        <v>673</v>
      </c>
      <c r="B6" s="577"/>
      <c r="C6" s="578"/>
      <c r="D6" s="579">
        <v>5491262.84</v>
      </c>
    </row>
    <row r="7" spans="1:4" ht="21.75" customHeight="1">
      <c r="A7" s="576" t="s">
        <v>674</v>
      </c>
      <c r="B7" s="577"/>
      <c r="C7" s="578"/>
      <c r="D7" s="579">
        <v>487050.5</v>
      </c>
    </row>
    <row r="8" spans="1:4" ht="21.75" customHeight="1">
      <c r="A8" s="580" t="s">
        <v>675</v>
      </c>
      <c r="B8" s="581"/>
      <c r="C8" s="582"/>
      <c r="D8" s="583">
        <v>24550939</v>
      </c>
    </row>
    <row r="9" spans="1:4" ht="21.75" customHeight="1">
      <c r="A9" s="580" t="s">
        <v>681</v>
      </c>
      <c r="B9" s="581"/>
      <c r="C9" s="582"/>
      <c r="D9" s="583">
        <f>714696+876060</f>
        <v>1590756</v>
      </c>
    </row>
    <row r="10" spans="1:4" s="4" customFormat="1" ht="21.75" customHeight="1">
      <c r="A10" s="600" t="s">
        <v>117</v>
      </c>
      <c r="B10" s="601"/>
      <c r="C10" s="602"/>
      <c r="D10" s="603">
        <f>SUM(D5:D9)</f>
        <v>112444847.43</v>
      </c>
    </row>
    <row r="11" spans="1:4" ht="21.75" customHeight="1">
      <c r="A11" s="584" t="s">
        <v>676</v>
      </c>
      <c r="B11" s="585"/>
      <c r="C11" s="586"/>
      <c r="D11" s="587">
        <v>81915595.09</v>
      </c>
    </row>
    <row r="12" spans="1:4" ht="21.75" customHeight="1">
      <c r="A12" s="576" t="s">
        <v>677</v>
      </c>
      <c r="B12" s="577"/>
      <c r="C12" s="578"/>
      <c r="D12" s="579">
        <v>5252375.25</v>
      </c>
    </row>
    <row r="13" spans="1:4" ht="21.75" customHeight="1">
      <c r="A13" s="588" t="s">
        <v>678</v>
      </c>
      <c r="B13" s="577"/>
      <c r="C13" s="589"/>
      <c r="D13" s="590">
        <v>2376000</v>
      </c>
    </row>
    <row r="14" spans="1:4" ht="21.75" customHeight="1">
      <c r="A14" s="580" t="s">
        <v>679</v>
      </c>
      <c r="B14" s="581"/>
      <c r="C14" s="582"/>
      <c r="D14" s="583">
        <v>487050.5</v>
      </c>
    </row>
    <row r="15" spans="1:4" s="4" customFormat="1" ht="21.75" customHeight="1">
      <c r="A15" s="600" t="s">
        <v>117</v>
      </c>
      <c r="B15" s="601"/>
      <c r="C15" s="602"/>
      <c r="D15" s="603">
        <f>SUM(D11:D14)</f>
        <v>90031020.84</v>
      </c>
    </row>
    <row r="16" spans="1:4" ht="21.75" customHeight="1">
      <c r="A16" s="706" t="s">
        <v>680</v>
      </c>
      <c r="B16" s="707"/>
      <c r="C16" s="570"/>
      <c r="D16" s="591">
        <f>+D10-D15</f>
        <v>22413826.590000004</v>
      </c>
    </row>
    <row r="17" spans="1:4" ht="21.75" customHeight="1">
      <c r="A17" s="68"/>
      <c r="C17" s="593"/>
      <c r="D17" s="119"/>
    </row>
    <row r="18" spans="1:4" s="467" customFormat="1" ht="21.75" customHeight="1">
      <c r="A18" s="503" t="s">
        <v>190</v>
      </c>
      <c r="B18" s="594"/>
      <c r="C18" s="708" t="s">
        <v>191</v>
      </c>
      <c r="D18" s="708"/>
    </row>
    <row r="19" spans="1:4" s="486" customFormat="1" ht="28.5" customHeight="1">
      <c r="A19" s="596"/>
      <c r="B19" s="432"/>
      <c r="C19" s="485"/>
      <c r="D19" s="485"/>
    </row>
    <row r="20" spans="1:4" s="486" customFormat="1" ht="21.75" customHeight="1">
      <c r="A20" s="596" t="s">
        <v>192</v>
      </c>
      <c r="B20" s="432"/>
      <c r="C20" s="709" t="s">
        <v>194</v>
      </c>
      <c r="D20" s="709"/>
    </row>
    <row r="21" spans="1:4" s="486" customFormat="1" ht="21.75" customHeight="1">
      <c r="A21" s="596" t="s">
        <v>195</v>
      </c>
      <c r="B21" s="432"/>
      <c r="C21" s="709" t="s">
        <v>197</v>
      </c>
      <c r="D21" s="709"/>
    </row>
    <row r="23" spans="1:4" s="4" customFormat="1" ht="21.75" customHeight="1">
      <c r="A23" s="595" t="s">
        <v>198</v>
      </c>
      <c r="B23" s="598"/>
      <c r="C23" s="708" t="s">
        <v>198</v>
      </c>
      <c r="D23" s="708"/>
    </row>
    <row r="24" spans="1:4" ht="32.25" customHeight="1">
      <c r="A24" s="597"/>
      <c r="B24" s="599"/>
      <c r="C24" s="485"/>
      <c r="D24" s="485"/>
    </row>
    <row r="25" spans="1:4" ht="21.75" customHeight="1">
      <c r="A25" s="597" t="s">
        <v>263</v>
      </c>
      <c r="B25" s="599"/>
      <c r="C25" s="709" t="s">
        <v>376</v>
      </c>
      <c r="D25" s="709"/>
    </row>
    <row r="26" spans="1:4" ht="21.75" customHeight="1">
      <c r="A26" s="597" t="s">
        <v>201</v>
      </c>
      <c r="B26" s="599"/>
      <c r="C26" s="709" t="s">
        <v>202</v>
      </c>
      <c r="D26" s="709"/>
    </row>
  </sheetData>
  <sheetProtection/>
  <mergeCells count="11">
    <mergeCell ref="C26:D26"/>
    <mergeCell ref="C20:D20"/>
    <mergeCell ref="C21:D21"/>
    <mergeCell ref="C23:D23"/>
    <mergeCell ref="C25:D25"/>
    <mergeCell ref="A1:D1"/>
    <mergeCell ref="A2:D2"/>
    <mergeCell ref="A3:D3"/>
    <mergeCell ref="A4:B4"/>
    <mergeCell ref="C18:D18"/>
    <mergeCell ref="A16:B16"/>
  </mergeCells>
  <printOptions/>
  <pageMargins left="0.98" right="0.53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J261"/>
  <sheetViews>
    <sheetView view="pageBreakPreview" zoomScale="110" zoomScaleSheetLayoutView="110" zoomScalePageLayoutView="0" workbookViewId="0" topLeftCell="A241">
      <selection activeCell="G115" sqref="G115:G117"/>
    </sheetView>
  </sheetViews>
  <sheetFormatPr defaultColWidth="9.140625" defaultRowHeight="20.25" customHeight="1"/>
  <cols>
    <col min="1" max="1" width="2.28125" style="486" customWidth="1"/>
    <col min="2" max="2" width="14.00390625" style="486" customWidth="1"/>
    <col min="3" max="3" width="19.00390625" style="486" customWidth="1"/>
    <col min="4" max="4" width="16.7109375" style="486" customWidth="1"/>
    <col min="5" max="5" width="16.00390625" style="485" customWidth="1"/>
    <col min="6" max="7" width="16.00390625" style="486" customWidth="1"/>
    <col min="8" max="8" width="16.00390625" style="485" customWidth="1"/>
    <col min="9" max="10" width="16.00390625" style="486" customWidth="1"/>
    <col min="11" max="16384" width="8.8515625" style="486" customWidth="1"/>
  </cols>
  <sheetData>
    <row r="1" spans="2:8" s="176" customFormat="1" ht="20.25" customHeight="1">
      <c r="B1" s="725" t="s">
        <v>168</v>
      </c>
      <c r="C1" s="725"/>
      <c r="D1" s="725"/>
      <c r="E1" s="725"/>
      <c r="F1" s="725"/>
      <c r="G1" s="725"/>
      <c r="H1" s="463"/>
    </row>
    <row r="2" spans="2:8" s="176" customFormat="1" ht="20.25" customHeight="1">
      <c r="B2" s="725" t="s">
        <v>273</v>
      </c>
      <c r="C2" s="725"/>
      <c r="D2" s="725"/>
      <c r="E2" s="725"/>
      <c r="F2" s="725"/>
      <c r="G2" s="725"/>
      <c r="H2" s="548">
        <v>80000000</v>
      </c>
    </row>
    <row r="3" spans="2:8" s="176" customFormat="1" ht="20.25" customHeight="1">
      <c r="B3" s="725" t="s">
        <v>534</v>
      </c>
      <c r="C3" s="725"/>
      <c r="D3" s="725"/>
      <c r="E3" s="725"/>
      <c r="F3" s="725"/>
      <c r="G3" s="725"/>
      <c r="H3" s="548">
        <f>+E17+E41+E61+E85+E106+E129+E152+E171+E194+E215+E239+E259</f>
        <v>80657910.5</v>
      </c>
    </row>
    <row r="4" spans="2:8" s="176" customFormat="1" ht="20.25" customHeight="1" thickBot="1">
      <c r="B4" s="464"/>
      <c r="C4" s="462"/>
      <c r="D4" s="462"/>
      <c r="E4" s="465"/>
      <c r="F4" s="462"/>
      <c r="G4" s="462"/>
      <c r="H4" s="548">
        <f>+H2-H3</f>
        <v>-657910.5</v>
      </c>
    </row>
    <row r="5" spans="2:8" s="467" customFormat="1" ht="20.25" customHeight="1">
      <c r="B5" s="729" t="s">
        <v>266</v>
      </c>
      <c r="C5" s="710" t="s">
        <v>1</v>
      </c>
      <c r="D5" s="710" t="s">
        <v>77</v>
      </c>
      <c r="E5" s="737" t="s">
        <v>123</v>
      </c>
      <c r="F5" s="710" t="s">
        <v>17</v>
      </c>
      <c r="G5" s="710" t="s">
        <v>117</v>
      </c>
      <c r="H5" s="466"/>
    </row>
    <row r="6" spans="2:8" s="467" customFormat="1" ht="20.25" customHeight="1" thickBot="1">
      <c r="B6" s="731"/>
      <c r="C6" s="732"/>
      <c r="D6" s="712"/>
      <c r="E6" s="739"/>
      <c r="F6" s="712"/>
      <c r="G6" s="712"/>
      <c r="H6" s="466"/>
    </row>
    <row r="7" spans="2:8" s="176" customFormat="1" ht="20.25" customHeight="1">
      <c r="B7" s="468" t="s">
        <v>17</v>
      </c>
      <c r="C7" s="469" t="s">
        <v>17</v>
      </c>
      <c r="D7" s="470" t="s">
        <v>81</v>
      </c>
      <c r="E7" s="471">
        <v>10576792</v>
      </c>
      <c r="F7" s="472">
        <v>8765251.91</v>
      </c>
      <c r="G7" s="472">
        <f>+F7</f>
        <v>8765251.91</v>
      </c>
      <c r="H7" s="463"/>
    </row>
    <row r="8" spans="2:8" s="176" customFormat="1" ht="20.25" customHeight="1">
      <c r="B8" s="468"/>
      <c r="C8" s="469"/>
      <c r="D8" s="470" t="s">
        <v>463</v>
      </c>
      <c r="E8" s="471">
        <f>+F8</f>
        <v>17059.5</v>
      </c>
      <c r="F8" s="472">
        <v>17059.5</v>
      </c>
      <c r="G8" s="472">
        <f>+F8</f>
        <v>17059.5</v>
      </c>
      <c r="H8" s="463"/>
    </row>
    <row r="9" spans="2:8" s="176" customFormat="1" ht="20.25" customHeight="1">
      <c r="B9" s="468"/>
      <c r="C9" s="469"/>
      <c r="D9" s="473"/>
      <c r="E9" s="471"/>
      <c r="F9" s="472"/>
      <c r="G9" s="472"/>
      <c r="H9" s="463"/>
    </row>
    <row r="10" spans="2:8" s="176" customFormat="1" ht="20.25" customHeight="1">
      <c r="B10" s="468"/>
      <c r="C10" s="469"/>
      <c r="D10" s="473"/>
      <c r="E10" s="474"/>
      <c r="F10" s="472"/>
      <c r="G10" s="472"/>
      <c r="H10" s="463"/>
    </row>
    <row r="11" spans="2:8" s="176" customFormat="1" ht="20.25" customHeight="1">
      <c r="B11" s="468"/>
      <c r="C11" s="469"/>
      <c r="D11" s="473"/>
      <c r="E11" s="474"/>
      <c r="F11" s="472"/>
      <c r="G11" s="472"/>
      <c r="H11" s="463"/>
    </row>
    <row r="12" spans="2:8" s="176" customFormat="1" ht="20.25" customHeight="1">
      <c r="B12" s="468"/>
      <c r="C12" s="469"/>
      <c r="D12" s="473"/>
      <c r="E12" s="474"/>
      <c r="F12" s="472"/>
      <c r="G12" s="472"/>
      <c r="H12" s="463"/>
    </row>
    <row r="13" spans="2:8" s="176" customFormat="1" ht="20.25" customHeight="1">
      <c r="B13" s="468"/>
      <c r="C13" s="469"/>
      <c r="D13" s="473"/>
      <c r="E13" s="474"/>
      <c r="F13" s="472"/>
      <c r="G13" s="472"/>
      <c r="H13" s="463"/>
    </row>
    <row r="14" spans="2:8" s="176" customFormat="1" ht="20.25" customHeight="1">
      <c r="B14" s="468"/>
      <c r="C14" s="469"/>
      <c r="D14" s="473"/>
      <c r="E14" s="474"/>
      <c r="F14" s="472"/>
      <c r="G14" s="472"/>
      <c r="H14" s="463"/>
    </row>
    <row r="15" spans="2:8" s="176" customFormat="1" ht="20.25" customHeight="1">
      <c r="B15" s="468"/>
      <c r="C15" s="469"/>
      <c r="D15" s="473"/>
      <c r="E15" s="474"/>
      <c r="F15" s="472"/>
      <c r="G15" s="472"/>
      <c r="H15" s="463"/>
    </row>
    <row r="16" spans="2:8" s="176" customFormat="1" ht="20.25" customHeight="1" thickBot="1">
      <c r="B16" s="475"/>
      <c r="C16" s="476"/>
      <c r="D16" s="477"/>
      <c r="E16" s="478"/>
      <c r="F16" s="479"/>
      <c r="G16" s="479"/>
      <c r="H16" s="463"/>
    </row>
    <row r="17" spans="2:9" s="467" customFormat="1" ht="20.25" customHeight="1" thickBot="1">
      <c r="B17" s="713" t="s">
        <v>117</v>
      </c>
      <c r="C17" s="714"/>
      <c r="D17" s="714"/>
      <c r="E17" s="480">
        <f>SUM(E7:E16)</f>
        <v>10593851.5</v>
      </c>
      <c r="F17" s="481">
        <f>SUM(F7:F16)</f>
        <v>8782311.41</v>
      </c>
      <c r="G17" s="481">
        <f>SUM(G7:G16)</f>
        <v>8782311.41</v>
      </c>
      <c r="H17" s="482"/>
      <c r="I17" s="483"/>
    </row>
    <row r="18" spans="2:9" ht="20.25" customHeight="1" thickTop="1">
      <c r="B18" s="484"/>
      <c r="C18" s="484"/>
      <c r="D18" s="484"/>
      <c r="F18" s="484"/>
      <c r="G18" s="484"/>
      <c r="H18" s="482"/>
      <c r="I18" s="483"/>
    </row>
    <row r="19" spans="2:9" ht="20.25" customHeight="1">
      <c r="B19" s="484" t="s">
        <v>267</v>
      </c>
      <c r="C19" s="484"/>
      <c r="D19" s="484"/>
      <c r="F19" s="484"/>
      <c r="G19" s="484"/>
      <c r="H19" s="482"/>
      <c r="I19" s="483"/>
    </row>
    <row r="23" spans="2:9" ht="20.25" customHeight="1">
      <c r="B23" s="725" t="s">
        <v>168</v>
      </c>
      <c r="C23" s="725"/>
      <c r="D23" s="725"/>
      <c r="E23" s="725"/>
      <c r="F23" s="725"/>
      <c r="G23" s="725"/>
      <c r="H23" s="725"/>
      <c r="I23" s="725"/>
    </row>
    <row r="24" spans="2:9" s="176" customFormat="1" ht="20.25" customHeight="1">
      <c r="B24" s="725" t="s">
        <v>274</v>
      </c>
      <c r="C24" s="725"/>
      <c r="D24" s="725"/>
      <c r="E24" s="725"/>
      <c r="F24" s="725"/>
      <c r="G24" s="725"/>
      <c r="H24" s="725"/>
      <c r="I24" s="725"/>
    </row>
    <row r="25" spans="2:9" s="176" customFormat="1" ht="20.25" customHeight="1">
      <c r="B25" s="725" t="s">
        <v>534</v>
      </c>
      <c r="C25" s="725"/>
      <c r="D25" s="725"/>
      <c r="E25" s="725"/>
      <c r="F25" s="725"/>
      <c r="G25" s="725"/>
      <c r="H25" s="725"/>
      <c r="I25" s="725"/>
    </row>
    <row r="26" spans="2:9" s="176" customFormat="1" ht="20.25" customHeight="1" thickBot="1">
      <c r="B26" s="464"/>
      <c r="C26" s="462"/>
      <c r="D26" s="462"/>
      <c r="E26" s="465"/>
      <c r="F26" s="462"/>
      <c r="G26" s="462"/>
      <c r="H26" s="482"/>
      <c r="I26" s="483"/>
    </row>
    <row r="27" spans="2:9" s="176" customFormat="1" ht="20.25" customHeight="1">
      <c r="B27" s="729" t="s">
        <v>266</v>
      </c>
      <c r="C27" s="710" t="s">
        <v>1</v>
      </c>
      <c r="D27" s="710" t="s">
        <v>77</v>
      </c>
      <c r="E27" s="737" t="s">
        <v>123</v>
      </c>
      <c r="F27" s="710" t="s">
        <v>275</v>
      </c>
      <c r="G27" s="710" t="s">
        <v>276</v>
      </c>
      <c r="H27" s="733" t="s">
        <v>277</v>
      </c>
      <c r="I27" s="710" t="s">
        <v>117</v>
      </c>
    </row>
    <row r="28" spans="2:9" s="467" customFormat="1" ht="20.25" customHeight="1">
      <c r="B28" s="730"/>
      <c r="C28" s="711"/>
      <c r="D28" s="711"/>
      <c r="E28" s="738"/>
      <c r="F28" s="711"/>
      <c r="G28" s="711"/>
      <c r="H28" s="734"/>
      <c r="I28" s="711"/>
    </row>
    <row r="29" spans="2:9" s="467" customFormat="1" ht="20.25" customHeight="1" thickBot="1">
      <c r="B29" s="731"/>
      <c r="C29" s="732"/>
      <c r="D29" s="712"/>
      <c r="E29" s="739"/>
      <c r="F29" s="712"/>
      <c r="G29" s="712"/>
      <c r="H29" s="735"/>
      <c r="I29" s="712"/>
    </row>
    <row r="30" spans="2:9" s="176" customFormat="1" ht="20.25" customHeight="1">
      <c r="B30" s="487" t="s">
        <v>268</v>
      </c>
      <c r="C30" s="488" t="s">
        <v>146</v>
      </c>
      <c r="D30" s="470" t="s">
        <v>81</v>
      </c>
      <c r="E30" s="471">
        <f>1763580+20300</f>
        <v>1783880</v>
      </c>
      <c r="F30" s="472">
        <v>1783800</v>
      </c>
      <c r="G30" s="472"/>
      <c r="H30" s="489"/>
      <c r="I30" s="472">
        <f>SUM(F30:H30)</f>
        <v>1783800</v>
      </c>
    </row>
    <row r="31" spans="2:9" s="176" customFormat="1" ht="20.25" customHeight="1">
      <c r="B31" s="487"/>
      <c r="C31" s="488" t="s">
        <v>148</v>
      </c>
      <c r="D31" s="470" t="s">
        <v>81</v>
      </c>
      <c r="E31" s="471">
        <f>8085480+3699840+20800-403700</f>
        <v>11402420</v>
      </c>
      <c r="F31" s="472">
        <v>5537859</v>
      </c>
      <c r="G31" s="472"/>
      <c r="H31" s="489">
        <v>2826442</v>
      </c>
      <c r="I31" s="472">
        <f>SUM(F31:H31)</f>
        <v>8364301</v>
      </c>
    </row>
    <row r="32" spans="2:9" s="176" customFormat="1" ht="20.25" customHeight="1">
      <c r="B32" s="487" t="s">
        <v>269</v>
      </c>
      <c r="C32" s="488" t="s">
        <v>18</v>
      </c>
      <c r="D32" s="470" t="s">
        <v>81</v>
      </c>
      <c r="E32" s="471">
        <f>1105000+562000+30000-35000</f>
        <v>1662000</v>
      </c>
      <c r="F32" s="472">
        <v>1022940</v>
      </c>
      <c r="G32" s="472"/>
      <c r="H32" s="489">
        <v>413850</v>
      </c>
      <c r="I32" s="472">
        <f aca="true" t="shared" si="0" ref="I32:I39">SUM(F32:H32)</f>
        <v>1436790</v>
      </c>
    </row>
    <row r="33" spans="2:9" s="176" customFormat="1" ht="20.25" customHeight="1">
      <c r="B33" s="487"/>
      <c r="C33" s="488" t="s">
        <v>19</v>
      </c>
      <c r="D33" s="470" t="s">
        <v>81</v>
      </c>
      <c r="E33" s="474">
        <f>1710000+70000+250000+110000-380000+20000</f>
        <v>1780000</v>
      </c>
      <c r="F33" s="472">
        <v>482829.92</v>
      </c>
      <c r="G33" s="472">
        <v>25801</v>
      </c>
      <c r="H33" s="489">
        <v>169215.13</v>
      </c>
      <c r="I33" s="472">
        <f t="shared" si="0"/>
        <v>677846.05</v>
      </c>
    </row>
    <row r="34" spans="2:9" s="176" customFormat="1" ht="20.25" customHeight="1">
      <c r="B34" s="487"/>
      <c r="C34" s="488" t="s">
        <v>20</v>
      </c>
      <c r="D34" s="470" t="s">
        <v>81</v>
      </c>
      <c r="E34" s="474">
        <f>875000+315000+85000-100000+20000-40000</f>
        <v>1155000</v>
      </c>
      <c r="F34" s="472">
        <v>498515.68</v>
      </c>
      <c r="G34" s="472"/>
      <c r="H34" s="489">
        <v>265953.92</v>
      </c>
      <c r="I34" s="472">
        <f t="shared" si="0"/>
        <v>764469.6</v>
      </c>
    </row>
    <row r="35" spans="2:9" s="176" customFormat="1" ht="20.25" customHeight="1">
      <c r="B35" s="487"/>
      <c r="C35" s="488" t="s">
        <v>21</v>
      </c>
      <c r="D35" s="470" t="s">
        <v>81</v>
      </c>
      <c r="E35" s="474">
        <f>490000+20000-20000</f>
        <v>490000</v>
      </c>
      <c r="F35" s="472">
        <v>375072.87</v>
      </c>
      <c r="G35" s="472"/>
      <c r="H35" s="489">
        <v>0</v>
      </c>
      <c r="I35" s="472">
        <f t="shared" si="0"/>
        <v>375072.87</v>
      </c>
    </row>
    <row r="36" spans="2:9" s="176" customFormat="1" ht="20.25" customHeight="1">
      <c r="B36" s="487" t="s">
        <v>270</v>
      </c>
      <c r="C36" s="488" t="s">
        <v>22</v>
      </c>
      <c r="D36" s="470" t="s">
        <v>81</v>
      </c>
      <c r="E36" s="474">
        <f>1224800+93500+35000</f>
        <v>1353300</v>
      </c>
      <c r="F36" s="472">
        <v>993490.84</v>
      </c>
      <c r="G36" s="472"/>
      <c r="H36" s="489">
        <v>83622.04</v>
      </c>
      <c r="I36" s="472">
        <f t="shared" si="0"/>
        <v>1077112.88</v>
      </c>
    </row>
    <row r="37" spans="2:9" s="176" customFormat="1" ht="20.25" customHeight="1">
      <c r="B37" s="487"/>
      <c r="C37" s="488" t="s">
        <v>23</v>
      </c>
      <c r="D37" s="470" t="s">
        <v>81</v>
      </c>
      <c r="E37" s="474">
        <v>900000</v>
      </c>
      <c r="F37" s="472">
        <v>0</v>
      </c>
      <c r="G37" s="472"/>
      <c r="H37" s="489"/>
      <c r="I37" s="472">
        <f t="shared" si="0"/>
        <v>0</v>
      </c>
    </row>
    <row r="38" spans="2:9" s="176" customFormat="1" ht="20.25" customHeight="1">
      <c r="B38" s="487" t="s">
        <v>271</v>
      </c>
      <c r="C38" s="488" t="s">
        <v>24</v>
      </c>
      <c r="D38" s="470" t="s">
        <v>81</v>
      </c>
      <c r="E38" s="474">
        <v>20000</v>
      </c>
      <c r="F38" s="472">
        <v>20000</v>
      </c>
      <c r="G38" s="472"/>
      <c r="H38" s="489"/>
      <c r="I38" s="472">
        <f t="shared" si="0"/>
        <v>20000</v>
      </c>
    </row>
    <row r="39" spans="2:9" s="176" customFormat="1" ht="20.25" customHeight="1">
      <c r="B39" s="487" t="s">
        <v>272</v>
      </c>
      <c r="C39" s="488" t="s">
        <v>127</v>
      </c>
      <c r="D39" s="470" t="s">
        <v>81</v>
      </c>
      <c r="E39" s="474">
        <v>0</v>
      </c>
      <c r="F39" s="472">
        <v>0</v>
      </c>
      <c r="G39" s="472"/>
      <c r="H39" s="489"/>
      <c r="I39" s="472">
        <f t="shared" si="0"/>
        <v>0</v>
      </c>
    </row>
    <row r="40" spans="2:9" s="176" customFormat="1" ht="20.25" customHeight="1" thickBot="1">
      <c r="B40" s="490"/>
      <c r="C40" s="491"/>
      <c r="D40" s="477"/>
      <c r="E40" s="478"/>
      <c r="F40" s="479"/>
      <c r="G40" s="479"/>
      <c r="H40" s="492"/>
      <c r="I40" s="479"/>
    </row>
    <row r="41" spans="2:9" s="467" customFormat="1" ht="20.25" customHeight="1" thickBot="1">
      <c r="B41" s="713" t="s">
        <v>117</v>
      </c>
      <c r="C41" s="714"/>
      <c r="D41" s="714"/>
      <c r="E41" s="480">
        <f>SUM(E30:E39)</f>
        <v>20546600</v>
      </c>
      <c r="F41" s="481">
        <f>SUM(F30:F39)</f>
        <v>10714508.309999999</v>
      </c>
      <c r="G41" s="481">
        <f>SUM(G30:G39)</f>
        <v>25801</v>
      </c>
      <c r="H41" s="480">
        <f>SUM(H30:H39)</f>
        <v>3759083.09</v>
      </c>
      <c r="I41" s="481">
        <f>SUM(I30:I39)</f>
        <v>14499392.399999999</v>
      </c>
    </row>
    <row r="42" spans="2:9" ht="20.25" customHeight="1" thickTop="1">
      <c r="B42" s="484"/>
      <c r="C42" s="484"/>
      <c r="D42" s="484"/>
      <c r="F42" s="484"/>
      <c r="G42" s="484"/>
      <c r="H42" s="482"/>
      <c r="I42" s="483"/>
    </row>
    <row r="43" spans="2:9" ht="20.25" customHeight="1">
      <c r="B43" s="484" t="s">
        <v>267</v>
      </c>
      <c r="C43" s="484"/>
      <c r="D43" s="484"/>
      <c r="F43" s="484"/>
      <c r="G43" s="484"/>
      <c r="H43" s="482"/>
      <c r="I43" s="483"/>
    </row>
    <row r="45" spans="2:9" ht="20.25" customHeight="1">
      <c r="B45" s="725" t="s">
        <v>168</v>
      </c>
      <c r="C45" s="725"/>
      <c r="D45" s="725"/>
      <c r="E45" s="725"/>
      <c r="F45" s="725"/>
      <c r="G45" s="725"/>
      <c r="H45" s="725"/>
      <c r="I45" s="725"/>
    </row>
    <row r="46" spans="2:9" ht="20.25" customHeight="1">
      <c r="B46" s="725" t="s">
        <v>278</v>
      </c>
      <c r="C46" s="725"/>
      <c r="D46" s="725"/>
      <c r="E46" s="725"/>
      <c r="F46" s="725"/>
      <c r="G46" s="725"/>
      <c r="H46" s="725"/>
      <c r="I46" s="725"/>
    </row>
    <row r="47" spans="2:9" s="176" customFormat="1" ht="20.25" customHeight="1">
      <c r="B47" s="725" t="s">
        <v>534</v>
      </c>
      <c r="C47" s="725"/>
      <c r="D47" s="725"/>
      <c r="E47" s="725"/>
      <c r="F47" s="725"/>
      <c r="G47" s="725"/>
      <c r="H47" s="725"/>
      <c r="I47" s="725"/>
    </row>
    <row r="48" spans="2:9" s="176" customFormat="1" ht="20.25" customHeight="1" thickBot="1">
      <c r="B48" s="464"/>
      <c r="C48" s="462"/>
      <c r="D48" s="462"/>
      <c r="E48" s="465"/>
      <c r="F48" s="462"/>
      <c r="G48" s="462"/>
      <c r="H48" s="482"/>
      <c r="I48" s="483"/>
    </row>
    <row r="49" spans="2:9" s="176" customFormat="1" ht="20.25" customHeight="1">
      <c r="B49" s="715" t="s">
        <v>266</v>
      </c>
      <c r="C49" s="718" t="s">
        <v>1</v>
      </c>
      <c r="D49" s="718" t="s">
        <v>77</v>
      </c>
      <c r="E49" s="722" t="s">
        <v>123</v>
      </c>
      <c r="F49" s="718" t="s">
        <v>279</v>
      </c>
      <c r="G49" s="718" t="s">
        <v>280</v>
      </c>
      <c r="H49" s="726" t="s">
        <v>281</v>
      </c>
      <c r="I49" s="718" t="s">
        <v>117</v>
      </c>
    </row>
    <row r="50" spans="2:9" s="176" customFormat="1" ht="20.25" customHeight="1">
      <c r="B50" s="716"/>
      <c r="C50" s="719"/>
      <c r="D50" s="719"/>
      <c r="E50" s="723"/>
      <c r="F50" s="719"/>
      <c r="G50" s="719"/>
      <c r="H50" s="727"/>
      <c r="I50" s="719"/>
    </row>
    <row r="51" spans="2:9" s="467" customFormat="1" ht="20.25" customHeight="1" thickBot="1">
      <c r="B51" s="717"/>
      <c r="C51" s="720"/>
      <c r="D51" s="721"/>
      <c r="E51" s="724"/>
      <c r="F51" s="721"/>
      <c r="G51" s="721"/>
      <c r="H51" s="728"/>
      <c r="I51" s="721"/>
    </row>
    <row r="52" spans="2:9" s="176" customFormat="1" ht="20.25" customHeight="1">
      <c r="B52" s="487" t="s">
        <v>269</v>
      </c>
      <c r="C52" s="488" t="s">
        <v>18</v>
      </c>
      <c r="D52" s="473"/>
      <c r="E52" s="471"/>
      <c r="F52" s="472"/>
      <c r="G52" s="472"/>
      <c r="H52" s="489"/>
      <c r="I52" s="472">
        <f aca="true" t="shared" si="1" ref="I52:I59">SUM(F52:H52)</f>
        <v>0</v>
      </c>
    </row>
    <row r="53" spans="2:9" s="176" customFormat="1" ht="20.25" customHeight="1">
      <c r="B53" s="487"/>
      <c r="C53" s="488" t="s">
        <v>19</v>
      </c>
      <c r="D53" s="470" t="s">
        <v>81</v>
      </c>
      <c r="E53" s="474">
        <v>130000</v>
      </c>
      <c r="F53" s="472"/>
      <c r="G53" s="472"/>
      <c r="H53" s="489">
        <v>78308</v>
      </c>
      <c r="I53" s="472">
        <f t="shared" si="1"/>
        <v>78308</v>
      </c>
    </row>
    <row r="54" spans="2:9" s="176" customFormat="1" ht="20.25" customHeight="1">
      <c r="B54" s="487"/>
      <c r="C54" s="488" t="s">
        <v>20</v>
      </c>
      <c r="D54" s="470" t="s">
        <v>81</v>
      </c>
      <c r="E54" s="474">
        <f>180000-15000</f>
        <v>165000</v>
      </c>
      <c r="F54" s="472"/>
      <c r="G54" s="472"/>
      <c r="H54" s="489">
        <v>146015</v>
      </c>
      <c r="I54" s="472">
        <f t="shared" si="1"/>
        <v>146015</v>
      </c>
    </row>
    <row r="55" spans="2:9" s="176" customFormat="1" ht="20.25" customHeight="1">
      <c r="B55" s="487"/>
      <c r="C55" s="488" t="s">
        <v>21</v>
      </c>
      <c r="D55" s="470"/>
      <c r="E55" s="474"/>
      <c r="F55" s="472"/>
      <c r="G55" s="472"/>
      <c r="H55" s="489">
        <v>0</v>
      </c>
      <c r="I55" s="472">
        <f t="shared" si="1"/>
        <v>0</v>
      </c>
    </row>
    <row r="56" spans="2:9" s="176" customFormat="1" ht="20.25" customHeight="1">
      <c r="B56" s="487" t="s">
        <v>270</v>
      </c>
      <c r="C56" s="488" t="s">
        <v>22</v>
      </c>
      <c r="D56" s="470" t="s">
        <v>81</v>
      </c>
      <c r="E56" s="474">
        <v>582800</v>
      </c>
      <c r="F56" s="472"/>
      <c r="G56" s="472"/>
      <c r="H56" s="489">
        <v>121254.9</v>
      </c>
      <c r="I56" s="472">
        <f t="shared" si="1"/>
        <v>121254.9</v>
      </c>
    </row>
    <row r="57" spans="2:9" s="176" customFormat="1" ht="20.25" customHeight="1">
      <c r="B57" s="487"/>
      <c r="C57" s="488" t="s">
        <v>23</v>
      </c>
      <c r="D57" s="473"/>
      <c r="E57" s="474"/>
      <c r="F57" s="472"/>
      <c r="G57" s="472"/>
      <c r="H57" s="489"/>
      <c r="I57" s="472">
        <f t="shared" si="1"/>
        <v>0</v>
      </c>
    </row>
    <row r="58" spans="2:9" s="176" customFormat="1" ht="20.25" customHeight="1">
      <c r="B58" s="487" t="s">
        <v>271</v>
      </c>
      <c r="C58" s="488" t="s">
        <v>24</v>
      </c>
      <c r="D58" s="473"/>
      <c r="E58" s="474"/>
      <c r="F58" s="472"/>
      <c r="G58" s="472"/>
      <c r="H58" s="489"/>
      <c r="I58" s="472">
        <f t="shared" si="1"/>
        <v>0</v>
      </c>
    </row>
    <row r="59" spans="2:9" s="176" customFormat="1" ht="20.25" customHeight="1">
      <c r="B59" s="487" t="s">
        <v>272</v>
      </c>
      <c r="C59" s="488" t="s">
        <v>127</v>
      </c>
      <c r="D59" s="473"/>
      <c r="E59" s="474"/>
      <c r="F59" s="472"/>
      <c r="G59" s="472"/>
      <c r="H59" s="489"/>
      <c r="I59" s="472">
        <f t="shared" si="1"/>
        <v>0</v>
      </c>
    </row>
    <row r="60" spans="2:9" s="176" customFormat="1" ht="20.25" customHeight="1" thickBot="1">
      <c r="B60" s="490"/>
      <c r="C60" s="491"/>
      <c r="D60" s="477"/>
      <c r="E60" s="478"/>
      <c r="F60" s="479"/>
      <c r="G60" s="479"/>
      <c r="H60" s="492"/>
      <c r="I60" s="479"/>
    </row>
    <row r="61" spans="2:9" s="176" customFormat="1" ht="20.25" customHeight="1" thickBot="1">
      <c r="B61" s="713" t="s">
        <v>117</v>
      </c>
      <c r="C61" s="714"/>
      <c r="D61" s="714"/>
      <c r="E61" s="493">
        <f>SUM(E52:E59)</f>
        <v>877800</v>
      </c>
      <c r="F61" s="481">
        <v>0</v>
      </c>
      <c r="G61" s="481">
        <v>0</v>
      </c>
      <c r="H61" s="480">
        <f>SUM(H52:H59)</f>
        <v>345577.9</v>
      </c>
      <c r="I61" s="481">
        <f>SUM(I52:I59)</f>
        <v>345577.9</v>
      </c>
    </row>
    <row r="62" spans="2:9" s="467" customFormat="1" ht="20.25" customHeight="1" thickTop="1">
      <c r="B62" s="484"/>
      <c r="C62" s="484"/>
      <c r="D62" s="484"/>
      <c r="E62" s="485"/>
      <c r="F62" s="484"/>
      <c r="G62" s="484"/>
      <c r="H62" s="482"/>
      <c r="I62" s="483"/>
    </row>
    <row r="63" spans="2:10" ht="20.25" customHeight="1">
      <c r="B63" s="484" t="s">
        <v>267</v>
      </c>
      <c r="C63" s="484"/>
      <c r="D63" s="484"/>
      <c r="F63" s="484"/>
      <c r="G63" s="484"/>
      <c r="H63" s="482"/>
      <c r="I63" s="483"/>
      <c r="J63" s="483"/>
    </row>
    <row r="64" spans="2:10" ht="20.25" customHeight="1">
      <c r="B64" s="484"/>
      <c r="C64" s="484"/>
      <c r="D64" s="484"/>
      <c r="F64" s="484"/>
      <c r="G64" s="484"/>
      <c r="H64" s="482"/>
      <c r="I64" s="483"/>
      <c r="J64" s="483"/>
    </row>
    <row r="65" spans="2:10" ht="20.25" customHeight="1">
      <c r="B65" s="484"/>
      <c r="C65" s="484"/>
      <c r="D65" s="484"/>
      <c r="F65" s="484"/>
      <c r="G65" s="484"/>
      <c r="H65" s="482"/>
      <c r="I65" s="483"/>
      <c r="J65" s="483"/>
    </row>
    <row r="67" spans="2:10" ht="20.25" customHeight="1">
      <c r="B67" s="725" t="s">
        <v>168</v>
      </c>
      <c r="C67" s="725"/>
      <c r="D67" s="725"/>
      <c r="E67" s="725"/>
      <c r="F67" s="725"/>
      <c r="G67" s="725"/>
      <c r="H67" s="725"/>
      <c r="I67" s="725"/>
      <c r="J67" s="483"/>
    </row>
    <row r="68" spans="2:10" ht="20.25" customHeight="1">
      <c r="B68" s="725" t="s">
        <v>282</v>
      </c>
      <c r="C68" s="725"/>
      <c r="D68" s="725"/>
      <c r="E68" s="725"/>
      <c r="F68" s="725"/>
      <c r="G68" s="725"/>
      <c r="H68" s="725"/>
      <c r="I68" s="725"/>
      <c r="J68" s="483"/>
    </row>
    <row r="69" spans="2:10" ht="20.25" customHeight="1">
      <c r="B69" s="725" t="s">
        <v>534</v>
      </c>
      <c r="C69" s="725"/>
      <c r="D69" s="725"/>
      <c r="E69" s="725"/>
      <c r="F69" s="725"/>
      <c r="G69" s="725"/>
      <c r="H69" s="725"/>
      <c r="I69" s="725"/>
      <c r="J69" s="483"/>
    </row>
    <row r="70" spans="2:10" ht="20.25" customHeight="1" thickBot="1">
      <c r="B70" s="464"/>
      <c r="C70" s="462"/>
      <c r="D70" s="462"/>
      <c r="E70" s="465"/>
      <c r="F70" s="462"/>
      <c r="G70" s="462"/>
      <c r="H70" s="482"/>
      <c r="I70" s="483"/>
      <c r="J70" s="483"/>
    </row>
    <row r="71" spans="2:10" ht="20.25" customHeight="1">
      <c r="B71" s="715" t="s">
        <v>266</v>
      </c>
      <c r="C71" s="718" t="s">
        <v>1</v>
      </c>
      <c r="D71" s="718" t="s">
        <v>77</v>
      </c>
      <c r="E71" s="722" t="s">
        <v>123</v>
      </c>
      <c r="F71" s="718" t="s">
        <v>283</v>
      </c>
      <c r="G71" s="718" t="s">
        <v>284</v>
      </c>
      <c r="H71" s="726" t="s">
        <v>285</v>
      </c>
      <c r="I71" s="718" t="s">
        <v>286</v>
      </c>
      <c r="J71" s="718" t="s">
        <v>117</v>
      </c>
    </row>
    <row r="72" spans="2:10" ht="20.25" customHeight="1">
      <c r="B72" s="716"/>
      <c r="C72" s="719"/>
      <c r="D72" s="719"/>
      <c r="E72" s="723"/>
      <c r="F72" s="719"/>
      <c r="G72" s="719"/>
      <c r="H72" s="727"/>
      <c r="I72" s="719"/>
      <c r="J72" s="719"/>
    </row>
    <row r="73" spans="2:10" ht="20.25" customHeight="1" thickBot="1">
      <c r="B73" s="717"/>
      <c r="C73" s="720"/>
      <c r="D73" s="721"/>
      <c r="E73" s="724"/>
      <c r="F73" s="721"/>
      <c r="G73" s="721"/>
      <c r="H73" s="728"/>
      <c r="I73" s="721"/>
      <c r="J73" s="721"/>
    </row>
    <row r="74" spans="2:10" ht="20.25" customHeight="1">
      <c r="B74" s="487" t="s">
        <v>268</v>
      </c>
      <c r="C74" s="488" t="s">
        <v>148</v>
      </c>
      <c r="D74" s="470" t="s">
        <v>463</v>
      </c>
      <c r="E74" s="471">
        <f>+G74</f>
        <v>60401</v>
      </c>
      <c r="F74" s="472"/>
      <c r="G74" s="472">
        <v>60401</v>
      </c>
      <c r="H74" s="489"/>
      <c r="I74" s="472"/>
      <c r="J74" s="472">
        <f>SUM(F74:I74)</f>
        <v>60401</v>
      </c>
    </row>
    <row r="75" spans="2:10" ht="20.25" customHeight="1">
      <c r="B75" s="487"/>
      <c r="C75" s="488" t="s">
        <v>148</v>
      </c>
      <c r="D75" s="470" t="s">
        <v>81</v>
      </c>
      <c r="E75" s="471">
        <f>510192+4600</f>
        <v>514792</v>
      </c>
      <c r="F75" s="472"/>
      <c r="G75" s="472">
        <v>497940</v>
      </c>
      <c r="H75" s="489"/>
      <c r="I75" s="472"/>
      <c r="J75" s="472">
        <f>SUM(F75:I75)</f>
        <v>497940</v>
      </c>
    </row>
    <row r="76" spans="2:10" ht="20.25" customHeight="1">
      <c r="B76" s="487" t="s">
        <v>269</v>
      </c>
      <c r="C76" s="488" t="s">
        <v>18</v>
      </c>
      <c r="D76" s="470"/>
      <c r="E76" s="471"/>
      <c r="F76" s="472"/>
      <c r="G76" s="472">
        <v>0</v>
      </c>
      <c r="H76" s="489"/>
      <c r="I76" s="472"/>
      <c r="J76" s="472">
        <f aca="true" t="shared" si="2" ref="J76:J83">SUM(F76:I76)</f>
        <v>0</v>
      </c>
    </row>
    <row r="77" spans="2:10" ht="20.25" customHeight="1">
      <c r="B77" s="487"/>
      <c r="C77" s="488" t="s">
        <v>19</v>
      </c>
      <c r="D77" s="470" t="s">
        <v>81</v>
      </c>
      <c r="E77" s="474">
        <f>64000+823800+100000</f>
        <v>987800</v>
      </c>
      <c r="F77" s="472">
        <v>54750</v>
      </c>
      <c r="G77" s="472">
        <v>705888</v>
      </c>
      <c r="H77" s="489"/>
      <c r="I77" s="472"/>
      <c r="J77" s="472">
        <f t="shared" si="2"/>
        <v>760638</v>
      </c>
    </row>
    <row r="78" spans="2:10" ht="20.25" customHeight="1">
      <c r="B78" s="487"/>
      <c r="C78" s="488" t="s">
        <v>20</v>
      </c>
      <c r="D78" s="470" t="s">
        <v>81</v>
      </c>
      <c r="E78" s="474">
        <v>4725976</v>
      </c>
      <c r="F78" s="472"/>
      <c r="G78" s="472">
        <v>3710963.84</v>
      </c>
      <c r="H78" s="489"/>
      <c r="I78" s="472"/>
      <c r="J78" s="472">
        <f t="shared" si="2"/>
        <v>3710963.84</v>
      </c>
    </row>
    <row r="79" spans="2:10" ht="20.25" customHeight="1">
      <c r="B79" s="487"/>
      <c r="C79" s="488" t="s">
        <v>21</v>
      </c>
      <c r="D79" s="470"/>
      <c r="E79" s="474"/>
      <c r="F79" s="472"/>
      <c r="G79" s="472"/>
      <c r="H79" s="489"/>
      <c r="I79" s="472"/>
      <c r="J79" s="472">
        <f t="shared" si="2"/>
        <v>0</v>
      </c>
    </row>
    <row r="80" spans="2:10" ht="20.25" customHeight="1">
      <c r="B80" s="487" t="s">
        <v>270</v>
      </c>
      <c r="C80" s="488" t="s">
        <v>22</v>
      </c>
      <c r="D80" s="470" t="s">
        <v>81</v>
      </c>
      <c r="E80" s="474">
        <v>160000</v>
      </c>
      <c r="F80" s="472"/>
      <c r="G80" s="472">
        <v>159109</v>
      </c>
      <c r="H80" s="489"/>
      <c r="I80" s="472"/>
      <c r="J80" s="472">
        <f t="shared" si="2"/>
        <v>159109</v>
      </c>
    </row>
    <row r="81" spans="2:10" ht="20.25" customHeight="1">
      <c r="B81" s="487"/>
      <c r="C81" s="488" t="s">
        <v>23</v>
      </c>
      <c r="D81" s="470" t="s">
        <v>81</v>
      </c>
      <c r="E81" s="474">
        <f>100000+278000</f>
        <v>378000</v>
      </c>
      <c r="F81" s="472"/>
      <c r="G81" s="472">
        <v>356500</v>
      </c>
      <c r="H81" s="489"/>
      <c r="I81" s="472"/>
      <c r="J81" s="472">
        <f t="shared" si="2"/>
        <v>356500</v>
      </c>
    </row>
    <row r="82" spans="2:10" ht="20.25" customHeight="1">
      <c r="B82" s="487" t="s">
        <v>271</v>
      </c>
      <c r="C82" s="488" t="s">
        <v>24</v>
      </c>
      <c r="D82" s="470"/>
      <c r="E82" s="474"/>
      <c r="F82" s="472"/>
      <c r="G82" s="472"/>
      <c r="H82" s="489"/>
      <c r="I82" s="472"/>
      <c r="J82" s="472">
        <f t="shared" si="2"/>
        <v>0</v>
      </c>
    </row>
    <row r="83" spans="2:10" ht="20.25" customHeight="1">
      <c r="B83" s="487" t="s">
        <v>272</v>
      </c>
      <c r="C83" s="488" t="s">
        <v>127</v>
      </c>
      <c r="D83" s="470" t="s">
        <v>81</v>
      </c>
      <c r="E83" s="474">
        <v>7980000</v>
      </c>
      <c r="F83" s="472"/>
      <c r="G83" s="472">
        <v>7933800</v>
      </c>
      <c r="H83" s="489"/>
      <c r="I83" s="472"/>
      <c r="J83" s="472">
        <f t="shared" si="2"/>
        <v>7933800</v>
      </c>
    </row>
    <row r="84" spans="2:10" ht="20.25" customHeight="1" thickBot="1">
      <c r="B84" s="490"/>
      <c r="C84" s="491"/>
      <c r="D84" s="477"/>
      <c r="E84" s="478"/>
      <c r="F84" s="479"/>
      <c r="G84" s="479"/>
      <c r="H84" s="492"/>
      <c r="I84" s="479"/>
      <c r="J84" s="479"/>
    </row>
    <row r="85" spans="2:10" ht="20.25" customHeight="1" thickBot="1">
      <c r="B85" s="713" t="s">
        <v>117</v>
      </c>
      <c r="C85" s="714"/>
      <c r="D85" s="714"/>
      <c r="E85" s="493">
        <f aca="true" t="shared" si="3" ref="E85:J85">SUM(E74:E83)</f>
        <v>14806969</v>
      </c>
      <c r="F85" s="481">
        <f t="shared" si="3"/>
        <v>54750</v>
      </c>
      <c r="G85" s="481">
        <f t="shared" si="3"/>
        <v>13424601.84</v>
      </c>
      <c r="H85" s="480">
        <f t="shared" si="3"/>
        <v>0</v>
      </c>
      <c r="I85" s="481">
        <f t="shared" si="3"/>
        <v>0</v>
      </c>
      <c r="J85" s="481">
        <f t="shared" si="3"/>
        <v>13479351.84</v>
      </c>
    </row>
    <row r="86" spans="2:10" ht="20.25" customHeight="1" thickTop="1">
      <c r="B86" s="484"/>
      <c r="C86" s="484"/>
      <c r="D86" s="484"/>
      <c r="F86" s="484"/>
      <c r="G86" s="484"/>
      <c r="H86" s="482"/>
      <c r="I86" s="483"/>
      <c r="J86" s="483"/>
    </row>
    <row r="87" spans="2:10" ht="20.25" customHeight="1">
      <c r="B87" s="484" t="s">
        <v>267</v>
      </c>
      <c r="C87" s="484"/>
      <c r="D87" s="484"/>
      <c r="F87" s="484"/>
      <c r="G87" s="484"/>
      <c r="H87" s="482"/>
      <c r="I87" s="483"/>
      <c r="J87" s="483"/>
    </row>
    <row r="89" spans="2:10" ht="20.25" customHeight="1">
      <c r="B89" s="725" t="s">
        <v>168</v>
      </c>
      <c r="C89" s="725"/>
      <c r="D89" s="725"/>
      <c r="E89" s="725"/>
      <c r="F89" s="725"/>
      <c r="G89" s="725"/>
      <c r="H89" s="725"/>
      <c r="I89" s="725"/>
      <c r="J89" s="483"/>
    </row>
    <row r="90" spans="2:10" ht="20.25" customHeight="1">
      <c r="B90" s="725" t="s">
        <v>287</v>
      </c>
      <c r="C90" s="725"/>
      <c r="D90" s="725"/>
      <c r="E90" s="725"/>
      <c r="F90" s="725"/>
      <c r="G90" s="725"/>
      <c r="H90" s="725"/>
      <c r="I90" s="725"/>
      <c r="J90" s="483"/>
    </row>
    <row r="91" spans="2:10" ht="20.25" customHeight="1">
      <c r="B91" s="725" t="s">
        <v>534</v>
      </c>
      <c r="C91" s="725"/>
      <c r="D91" s="725"/>
      <c r="E91" s="725"/>
      <c r="F91" s="725"/>
      <c r="G91" s="725"/>
      <c r="H91" s="725"/>
      <c r="I91" s="725"/>
      <c r="J91" s="483"/>
    </row>
    <row r="92" spans="2:10" ht="20.25" customHeight="1" thickBot="1">
      <c r="B92" s="464"/>
      <c r="C92" s="462"/>
      <c r="D92" s="462"/>
      <c r="E92" s="465"/>
      <c r="F92" s="462"/>
      <c r="G92" s="462"/>
      <c r="H92" s="482"/>
      <c r="I92" s="483"/>
      <c r="J92" s="483"/>
    </row>
    <row r="93" spans="2:10" ht="20.25" customHeight="1">
      <c r="B93" s="715" t="s">
        <v>266</v>
      </c>
      <c r="C93" s="718" t="s">
        <v>1</v>
      </c>
      <c r="D93" s="718" t="s">
        <v>77</v>
      </c>
      <c r="E93" s="722" t="s">
        <v>123</v>
      </c>
      <c r="F93" s="718" t="s">
        <v>288</v>
      </c>
      <c r="G93" s="718" t="s">
        <v>289</v>
      </c>
      <c r="H93" s="726" t="s">
        <v>290</v>
      </c>
      <c r="I93" s="718" t="s">
        <v>291</v>
      </c>
      <c r="J93" s="718" t="s">
        <v>117</v>
      </c>
    </row>
    <row r="94" spans="2:10" ht="20.25" customHeight="1">
      <c r="B94" s="716"/>
      <c r="C94" s="719"/>
      <c r="D94" s="719"/>
      <c r="E94" s="723"/>
      <c r="F94" s="719"/>
      <c r="G94" s="719"/>
      <c r="H94" s="727"/>
      <c r="I94" s="719"/>
      <c r="J94" s="719"/>
    </row>
    <row r="95" spans="2:10" ht="20.25" customHeight="1" thickBot="1">
      <c r="B95" s="717"/>
      <c r="C95" s="720"/>
      <c r="D95" s="721"/>
      <c r="E95" s="724"/>
      <c r="F95" s="721"/>
      <c r="G95" s="721"/>
      <c r="H95" s="728"/>
      <c r="I95" s="721"/>
      <c r="J95" s="721"/>
    </row>
    <row r="96" spans="2:10" ht="20.25" customHeight="1">
      <c r="B96" s="487" t="s">
        <v>268</v>
      </c>
      <c r="C96" s="488" t="s">
        <v>148</v>
      </c>
      <c r="D96" s="473"/>
      <c r="E96" s="471">
        <f>5076900-550000</f>
        <v>4526900</v>
      </c>
      <c r="F96" s="472">
        <v>4224263</v>
      </c>
      <c r="G96" s="472"/>
      <c r="H96" s="489"/>
      <c r="I96" s="472"/>
      <c r="J96" s="472">
        <f>SUM(F96:I96)</f>
        <v>4224263</v>
      </c>
    </row>
    <row r="97" spans="2:10" ht="20.25" customHeight="1">
      <c r="B97" s="487" t="s">
        <v>269</v>
      </c>
      <c r="C97" s="488" t="s">
        <v>18</v>
      </c>
      <c r="D97" s="473"/>
      <c r="E97" s="471">
        <f>590000+75000+50000</f>
        <v>715000</v>
      </c>
      <c r="F97" s="472">
        <v>557340</v>
      </c>
      <c r="G97" s="472"/>
      <c r="H97" s="489"/>
      <c r="I97" s="472"/>
      <c r="J97" s="472">
        <f>SUM(F97:I97)</f>
        <v>557340</v>
      </c>
    </row>
    <row r="98" spans="2:10" ht="20.25" customHeight="1">
      <c r="B98" s="487"/>
      <c r="C98" s="488" t="s">
        <v>19</v>
      </c>
      <c r="D98" s="473"/>
      <c r="E98" s="474">
        <f>455000+1570000-58500</f>
        <v>1966500</v>
      </c>
      <c r="F98" s="472">
        <v>5000</v>
      </c>
      <c r="G98" s="472"/>
      <c r="H98" s="489">
        <v>1006102.94</v>
      </c>
      <c r="I98" s="472"/>
      <c r="J98" s="472">
        <f aca="true" t="shared" si="4" ref="J98:J104">SUM(F98:I98)</f>
        <v>1011102.94</v>
      </c>
    </row>
    <row r="99" spans="2:10" ht="20.25" customHeight="1">
      <c r="B99" s="487"/>
      <c r="C99" s="488" t="s">
        <v>20</v>
      </c>
      <c r="D99" s="473"/>
      <c r="E99" s="474">
        <f>1515000+30000</f>
        <v>1545000</v>
      </c>
      <c r="F99" s="472">
        <v>1201781.7</v>
      </c>
      <c r="G99" s="472"/>
      <c r="H99" s="489"/>
      <c r="I99" s="472"/>
      <c r="J99" s="472">
        <f t="shared" si="4"/>
        <v>1201781.7</v>
      </c>
    </row>
    <row r="100" spans="2:10" ht="20.25" customHeight="1">
      <c r="B100" s="487"/>
      <c r="C100" s="488" t="s">
        <v>21</v>
      </c>
      <c r="D100" s="473"/>
      <c r="E100" s="474">
        <v>0</v>
      </c>
      <c r="F100" s="472"/>
      <c r="G100" s="472"/>
      <c r="H100" s="489"/>
      <c r="I100" s="472"/>
      <c r="J100" s="472">
        <f t="shared" si="4"/>
        <v>0</v>
      </c>
    </row>
    <row r="101" spans="2:10" ht="20.25" customHeight="1">
      <c r="B101" s="487" t="s">
        <v>270</v>
      </c>
      <c r="C101" s="488" t="s">
        <v>22</v>
      </c>
      <c r="D101" s="473"/>
      <c r="E101" s="474">
        <f>610800+3300000+528500</f>
        <v>4439300</v>
      </c>
      <c r="F101" s="472">
        <v>793988</v>
      </c>
      <c r="G101" s="472"/>
      <c r="H101" s="489">
        <v>3300000</v>
      </c>
      <c r="I101" s="472"/>
      <c r="J101" s="472">
        <f t="shared" si="4"/>
        <v>4093988</v>
      </c>
    </row>
    <row r="102" spans="2:10" ht="20.25" customHeight="1">
      <c r="B102" s="487"/>
      <c r="C102" s="488" t="s">
        <v>23</v>
      </c>
      <c r="D102" s="473"/>
      <c r="E102" s="474"/>
      <c r="F102" s="472"/>
      <c r="G102" s="472"/>
      <c r="H102" s="489"/>
      <c r="I102" s="472"/>
      <c r="J102" s="472">
        <f t="shared" si="4"/>
        <v>0</v>
      </c>
    </row>
    <row r="103" spans="2:10" ht="20.25" customHeight="1">
      <c r="B103" s="487" t="s">
        <v>271</v>
      </c>
      <c r="C103" s="488" t="s">
        <v>24</v>
      </c>
      <c r="D103" s="473"/>
      <c r="E103" s="474"/>
      <c r="F103" s="472"/>
      <c r="G103" s="472"/>
      <c r="H103" s="489"/>
      <c r="I103" s="472"/>
      <c r="J103" s="472">
        <f t="shared" si="4"/>
        <v>0</v>
      </c>
    </row>
    <row r="104" spans="2:10" ht="20.25" customHeight="1">
      <c r="B104" s="487" t="s">
        <v>272</v>
      </c>
      <c r="C104" s="488" t="s">
        <v>127</v>
      </c>
      <c r="D104" s="473"/>
      <c r="E104" s="474"/>
      <c r="F104" s="472"/>
      <c r="G104" s="472"/>
      <c r="H104" s="489"/>
      <c r="I104" s="472"/>
      <c r="J104" s="472">
        <f t="shared" si="4"/>
        <v>0</v>
      </c>
    </row>
    <row r="105" spans="2:10" ht="20.25" customHeight="1" thickBot="1">
      <c r="B105" s="490"/>
      <c r="C105" s="491"/>
      <c r="D105" s="477"/>
      <c r="E105" s="478"/>
      <c r="F105" s="479"/>
      <c r="G105" s="479"/>
      <c r="H105" s="492"/>
      <c r="I105" s="479"/>
      <c r="J105" s="479"/>
    </row>
    <row r="106" spans="2:10" ht="20.25" customHeight="1" thickBot="1">
      <c r="B106" s="713" t="s">
        <v>117</v>
      </c>
      <c r="C106" s="714"/>
      <c r="D106" s="714"/>
      <c r="E106" s="493">
        <f>SUM(E96:E105)</f>
        <v>13192700</v>
      </c>
      <c r="F106" s="481">
        <f>SUM(F96:F104)</f>
        <v>6782372.7</v>
      </c>
      <c r="G106" s="481">
        <f>SUM(G96:G104)</f>
        <v>0</v>
      </c>
      <c r="H106" s="480">
        <f>SUM(H96:H104)</f>
        <v>4306102.9399999995</v>
      </c>
      <c r="I106" s="481">
        <f>SUM(I96:I104)</f>
        <v>0</v>
      </c>
      <c r="J106" s="481">
        <f>SUM(J96:J104)</f>
        <v>11088475.64</v>
      </c>
    </row>
    <row r="107" spans="2:10" ht="20.25" customHeight="1" thickTop="1">
      <c r="B107" s="484"/>
      <c r="C107" s="484"/>
      <c r="D107" s="484"/>
      <c r="F107" s="484"/>
      <c r="G107" s="484"/>
      <c r="H107" s="482"/>
      <c r="I107" s="483"/>
      <c r="J107" s="483"/>
    </row>
    <row r="108" spans="2:10" ht="20.25" customHeight="1">
      <c r="B108" s="484" t="s">
        <v>267</v>
      </c>
      <c r="C108" s="484"/>
      <c r="D108" s="484"/>
      <c r="F108" s="484"/>
      <c r="G108" s="484"/>
      <c r="H108" s="482"/>
      <c r="I108" s="483"/>
      <c r="J108" s="483"/>
    </row>
    <row r="109" spans="2:10" ht="20.25" customHeight="1">
      <c r="B109" s="484"/>
      <c r="C109" s="484"/>
      <c r="D109" s="484"/>
      <c r="F109" s="484"/>
      <c r="G109" s="484"/>
      <c r="H109" s="482"/>
      <c r="I109" s="483"/>
      <c r="J109" s="483"/>
    </row>
    <row r="111" spans="2:10" ht="20.25" customHeight="1">
      <c r="B111" s="725" t="s">
        <v>168</v>
      </c>
      <c r="C111" s="725"/>
      <c r="D111" s="725"/>
      <c r="E111" s="725"/>
      <c r="F111" s="725"/>
      <c r="G111" s="725"/>
      <c r="H111" s="725"/>
      <c r="I111" s="725"/>
      <c r="J111" s="483"/>
    </row>
    <row r="112" spans="2:10" ht="20.25" customHeight="1">
      <c r="B112" s="725" t="s">
        <v>292</v>
      </c>
      <c r="C112" s="725"/>
      <c r="D112" s="725"/>
      <c r="E112" s="725"/>
      <c r="F112" s="725"/>
      <c r="G112" s="725"/>
      <c r="H112" s="725"/>
      <c r="I112" s="725"/>
      <c r="J112" s="483"/>
    </row>
    <row r="113" spans="2:10" ht="20.25" customHeight="1">
      <c r="B113" s="725" t="s">
        <v>534</v>
      </c>
      <c r="C113" s="725"/>
      <c r="D113" s="725"/>
      <c r="E113" s="725"/>
      <c r="F113" s="725"/>
      <c r="G113" s="725"/>
      <c r="H113" s="725"/>
      <c r="I113" s="725"/>
      <c r="J113" s="483"/>
    </row>
    <row r="114" spans="2:10" ht="20.25" customHeight="1" thickBot="1">
      <c r="B114" s="464"/>
      <c r="C114" s="462"/>
      <c r="D114" s="462"/>
      <c r="E114" s="465"/>
      <c r="F114" s="462"/>
      <c r="G114" s="462"/>
      <c r="H114" s="482"/>
      <c r="I114" s="483"/>
      <c r="J114" s="483"/>
    </row>
    <row r="115" spans="2:10" ht="20.25" customHeight="1">
      <c r="B115" s="729" t="s">
        <v>266</v>
      </c>
      <c r="C115" s="710" t="s">
        <v>1</v>
      </c>
      <c r="D115" s="710" t="s">
        <v>77</v>
      </c>
      <c r="E115" s="737" t="s">
        <v>123</v>
      </c>
      <c r="F115" s="710" t="s">
        <v>293</v>
      </c>
      <c r="G115" s="710" t="s">
        <v>294</v>
      </c>
      <c r="H115" s="733" t="s">
        <v>117</v>
      </c>
      <c r="I115" s="736"/>
      <c r="J115" s="494"/>
    </row>
    <row r="116" spans="2:10" ht="20.25" customHeight="1">
      <c r="B116" s="730"/>
      <c r="C116" s="711"/>
      <c r="D116" s="711"/>
      <c r="E116" s="738"/>
      <c r="F116" s="711"/>
      <c r="G116" s="711"/>
      <c r="H116" s="734"/>
      <c r="I116" s="736"/>
      <c r="J116" s="494"/>
    </row>
    <row r="117" spans="2:10" ht="20.25" customHeight="1" thickBot="1">
      <c r="B117" s="731"/>
      <c r="C117" s="732"/>
      <c r="D117" s="712"/>
      <c r="E117" s="739"/>
      <c r="F117" s="712"/>
      <c r="G117" s="712"/>
      <c r="H117" s="735"/>
      <c r="I117" s="736"/>
      <c r="J117" s="494"/>
    </row>
    <row r="118" spans="2:10" ht="20.25" customHeight="1">
      <c r="B118" s="487" t="s">
        <v>268</v>
      </c>
      <c r="C118" s="488" t="s">
        <v>146</v>
      </c>
      <c r="D118" s="473"/>
      <c r="E118" s="471"/>
      <c r="F118" s="472"/>
      <c r="G118" s="472"/>
      <c r="H118" s="489"/>
      <c r="I118" s="495"/>
      <c r="J118" s="496"/>
    </row>
    <row r="119" spans="2:10" ht="20.25" customHeight="1">
      <c r="B119" s="487"/>
      <c r="C119" s="488" t="s">
        <v>148</v>
      </c>
      <c r="D119" s="473"/>
      <c r="E119" s="471"/>
      <c r="F119" s="472"/>
      <c r="G119" s="472"/>
      <c r="H119" s="489"/>
      <c r="I119" s="495"/>
      <c r="J119" s="496"/>
    </row>
    <row r="120" spans="2:10" ht="20.25" customHeight="1">
      <c r="B120" s="487" t="s">
        <v>269</v>
      </c>
      <c r="C120" s="488" t="s">
        <v>18</v>
      </c>
      <c r="D120" s="473"/>
      <c r="E120" s="471"/>
      <c r="F120" s="472"/>
      <c r="G120" s="472"/>
      <c r="H120" s="489"/>
      <c r="I120" s="495"/>
      <c r="J120" s="496"/>
    </row>
    <row r="121" spans="2:10" ht="20.25" customHeight="1">
      <c r="B121" s="487"/>
      <c r="C121" s="488" t="s">
        <v>19</v>
      </c>
      <c r="D121" s="470" t="s">
        <v>81</v>
      </c>
      <c r="E121" s="474">
        <v>650000</v>
      </c>
      <c r="F121" s="472"/>
      <c r="G121" s="472"/>
      <c r="H121" s="489"/>
      <c r="I121" s="495"/>
      <c r="J121" s="496"/>
    </row>
    <row r="122" spans="2:10" ht="20.25" customHeight="1">
      <c r="B122" s="487"/>
      <c r="C122" s="488" t="s">
        <v>20</v>
      </c>
      <c r="D122" s="473"/>
      <c r="E122" s="474"/>
      <c r="F122" s="472"/>
      <c r="G122" s="472"/>
      <c r="H122" s="489"/>
      <c r="I122" s="495"/>
      <c r="J122" s="496"/>
    </row>
    <row r="123" spans="2:10" ht="20.25" customHeight="1">
      <c r="B123" s="487"/>
      <c r="C123" s="488" t="s">
        <v>21</v>
      </c>
      <c r="D123" s="473"/>
      <c r="E123" s="474"/>
      <c r="F123" s="472"/>
      <c r="G123" s="472"/>
      <c r="H123" s="489"/>
      <c r="I123" s="495"/>
      <c r="J123" s="496"/>
    </row>
    <row r="124" spans="2:10" ht="20.25" customHeight="1">
      <c r="B124" s="487" t="s">
        <v>270</v>
      </c>
      <c r="C124" s="488" t="s">
        <v>22</v>
      </c>
      <c r="D124" s="473"/>
      <c r="E124" s="474"/>
      <c r="F124" s="472"/>
      <c r="G124" s="472"/>
      <c r="H124" s="489"/>
      <c r="I124" s="495"/>
      <c r="J124" s="496"/>
    </row>
    <row r="125" spans="2:10" ht="20.25" customHeight="1">
      <c r="B125" s="487"/>
      <c r="C125" s="488" t="s">
        <v>23</v>
      </c>
      <c r="D125" s="473"/>
      <c r="E125" s="474"/>
      <c r="F125" s="472"/>
      <c r="G125" s="472"/>
      <c r="H125" s="489"/>
      <c r="I125" s="495"/>
      <c r="J125" s="496"/>
    </row>
    <row r="126" spans="2:10" ht="20.25" customHeight="1">
      <c r="B126" s="487" t="s">
        <v>271</v>
      </c>
      <c r="C126" s="488" t="s">
        <v>24</v>
      </c>
      <c r="D126" s="473"/>
      <c r="E126" s="474"/>
      <c r="F126" s="472"/>
      <c r="G126" s="472"/>
      <c r="H126" s="489"/>
      <c r="I126" s="495"/>
      <c r="J126" s="496"/>
    </row>
    <row r="127" spans="2:10" ht="20.25" customHeight="1">
      <c r="B127" s="487" t="s">
        <v>272</v>
      </c>
      <c r="C127" s="488" t="s">
        <v>127</v>
      </c>
      <c r="D127" s="473"/>
      <c r="E127" s="474"/>
      <c r="F127" s="472"/>
      <c r="G127" s="472"/>
      <c r="H127" s="489"/>
      <c r="I127" s="495"/>
      <c r="J127" s="496"/>
    </row>
    <row r="128" spans="2:10" ht="20.25" customHeight="1" thickBot="1">
      <c r="B128" s="490"/>
      <c r="C128" s="491"/>
      <c r="D128" s="477"/>
      <c r="E128" s="478"/>
      <c r="F128" s="479"/>
      <c r="G128" s="479"/>
      <c r="H128" s="492"/>
      <c r="I128" s="495"/>
      <c r="J128" s="496"/>
    </row>
    <row r="129" spans="2:10" ht="20.25" customHeight="1" thickBot="1">
      <c r="B129" s="713" t="s">
        <v>117</v>
      </c>
      <c r="C129" s="714"/>
      <c r="D129" s="714"/>
      <c r="E129" s="493">
        <f>SUM(E121:E128)</f>
        <v>650000</v>
      </c>
      <c r="F129" s="481">
        <v>0</v>
      </c>
      <c r="G129" s="481">
        <v>0</v>
      </c>
      <c r="H129" s="480">
        <v>0</v>
      </c>
      <c r="I129" s="497"/>
      <c r="J129" s="496"/>
    </row>
    <row r="130" spans="2:10" ht="20.25" customHeight="1" thickTop="1">
      <c r="B130" s="484"/>
      <c r="C130" s="484"/>
      <c r="D130" s="484"/>
      <c r="F130" s="484"/>
      <c r="G130" s="484"/>
      <c r="H130" s="482"/>
      <c r="I130" s="483"/>
      <c r="J130" s="483"/>
    </row>
    <row r="131" spans="2:10" ht="20.25" customHeight="1">
      <c r="B131" s="484" t="s">
        <v>267</v>
      </c>
      <c r="C131" s="484"/>
      <c r="D131" s="484"/>
      <c r="F131" s="484"/>
      <c r="G131" s="484"/>
      <c r="H131" s="482"/>
      <c r="I131" s="483"/>
      <c r="J131" s="483"/>
    </row>
    <row r="133" spans="2:10" ht="20.25" customHeight="1">
      <c r="B133" s="725" t="s">
        <v>168</v>
      </c>
      <c r="C133" s="725"/>
      <c r="D133" s="725"/>
      <c r="E133" s="725"/>
      <c r="F133" s="725"/>
      <c r="G133" s="725"/>
      <c r="H133" s="725"/>
      <c r="I133" s="725"/>
      <c r="J133" s="483"/>
    </row>
    <row r="134" spans="2:10" ht="20.25" customHeight="1">
      <c r="B134" s="725" t="s">
        <v>295</v>
      </c>
      <c r="C134" s="725"/>
      <c r="D134" s="725"/>
      <c r="E134" s="725"/>
      <c r="F134" s="725"/>
      <c r="G134" s="725"/>
      <c r="H134" s="725"/>
      <c r="I134" s="725"/>
      <c r="J134" s="483"/>
    </row>
    <row r="135" spans="2:10" ht="20.25" customHeight="1">
      <c r="B135" s="725" t="s">
        <v>534</v>
      </c>
      <c r="C135" s="725"/>
      <c r="D135" s="725"/>
      <c r="E135" s="725"/>
      <c r="F135" s="725"/>
      <c r="G135" s="725"/>
      <c r="H135" s="725"/>
      <c r="I135" s="725"/>
      <c r="J135" s="483"/>
    </row>
    <row r="136" spans="2:10" ht="20.25" customHeight="1" thickBot="1">
      <c r="B136" s="464"/>
      <c r="C136" s="462"/>
      <c r="D136" s="462"/>
      <c r="E136" s="465"/>
      <c r="F136" s="462"/>
      <c r="G136" s="462"/>
      <c r="H136" s="482"/>
      <c r="I136" s="483"/>
      <c r="J136" s="483"/>
    </row>
    <row r="137" spans="2:10" ht="20.25" customHeight="1">
      <c r="B137" s="715" t="s">
        <v>266</v>
      </c>
      <c r="C137" s="718" t="s">
        <v>1</v>
      </c>
      <c r="D137" s="718" t="s">
        <v>77</v>
      </c>
      <c r="E137" s="722" t="s">
        <v>123</v>
      </c>
      <c r="F137" s="718" t="s">
        <v>296</v>
      </c>
      <c r="G137" s="718" t="s">
        <v>297</v>
      </c>
      <c r="H137" s="726" t="s">
        <v>298</v>
      </c>
      <c r="I137" s="718" t="s">
        <v>299</v>
      </c>
      <c r="J137" s="718" t="s">
        <v>117</v>
      </c>
    </row>
    <row r="138" spans="2:10" ht="20.25" customHeight="1">
      <c r="B138" s="716"/>
      <c r="C138" s="719"/>
      <c r="D138" s="719"/>
      <c r="E138" s="723"/>
      <c r="F138" s="719"/>
      <c r="G138" s="719"/>
      <c r="H138" s="727"/>
      <c r="I138" s="719"/>
      <c r="J138" s="719"/>
    </row>
    <row r="139" spans="2:10" ht="20.25" customHeight="1" thickBot="1">
      <c r="B139" s="717"/>
      <c r="C139" s="720"/>
      <c r="D139" s="721"/>
      <c r="E139" s="724"/>
      <c r="F139" s="721"/>
      <c r="G139" s="721"/>
      <c r="H139" s="728"/>
      <c r="I139" s="721"/>
      <c r="J139" s="721"/>
    </row>
    <row r="140" spans="2:10" ht="20.25" customHeight="1">
      <c r="B140" s="487" t="s">
        <v>268</v>
      </c>
      <c r="C140" s="488" t="s">
        <v>148</v>
      </c>
      <c r="D140" s="470" t="s">
        <v>463</v>
      </c>
      <c r="E140" s="471">
        <f>+F140</f>
        <v>359190</v>
      </c>
      <c r="F140" s="472">
        <v>359190</v>
      </c>
      <c r="G140" s="472"/>
      <c r="H140" s="489"/>
      <c r="I140" s="472"/>
      <c r="J140" s="472">
        <f>SUM(F140:I140)</f>
        <v>359190</v>
      </c>
    </row>
    <row r="141" spans="2:10" ht="20.25" customHeight="1">
      <c r="B141" s="487"/>
      <c r="C141" s="488" t="s">
        <v>148</v>
      </c>
      <c r="D141" s="470" t="s">
        <v>81</v>
      </c>
      <c r="E141" s="471">
        <f>3588540-750000</f>
        <v>2838540</v>
      </c>
      <c r="F141" s="472">
        <v>1913791</v>
      </c>
      <c r="G141" s="472"/>
      <c r="H141" s="489"/>
      <c r="I141" s="472"/>
      <c r="J141" s="472">
        <f>SUM(F141:I141)</f>
        <v>1913791</v>
      </c>
    </row>
    <row r="142" spans="2:10" ht="20.25" customHeight="1">
      <c r="B142" s="487" t="s">
        <v>269</v>
      </c>
      <c r="C142" s="488" t="s">
        <v>18</v>
      </c>
      <c r="D142" s="470" t="s">
        <v>463</v>
      </c>
      <c r="E142" s="471">
        <f>+F142</f>
        <v>221260</v>
      </c>
      <c r="F142" s="472">
        <v>221260</v>
      </c>
      <c r="G142" s="472"/>
      <c r="H142" s="489"/>
      <c r="I142" s="472"/>
      <c r="J142" s="472">
        <f aca="true" t="shared" si="5" ref="J142:J150">SUM(F142:I142)</f>
        <v>221260</v>
      </c>
    </row>
    <row r="143" spans="2:10" ht="20.25" customHeight="1">
      <c r="B143" s="487"/>
      <c r="C143" s="488" t="s">
        <v>18</v>
      </c>
      <c r="D143" s="470" t="s">
        <v>81</v>
      </c>
      <c r="E143" s="471">
        <v>428000</v>
      </c>
      <c r="F143" s="472">
        <v>50400</v>
      </c>
      <c r="G143" s="472"/>
      <c r="H143" s="489"/>
      <c r="I143" s="472"/>
      <c r="J143" s="472">
        <f t="shared" si="5"/>
        <v>50400</v>
      </c>
    </row>
    <row r="144" spans="2:10" ht="20.25" customHeight="1">
      <c r="B144" s="487"/>
      <c r="C144" s="488" t="s">
        <v>19</v>
      </c>
      <c r="D144" s="470" t="s">
        <v>81</v>
      </c>
      <c r="E144" s="474">
        <f>550000+3000000+10000-210000</f>
        <v>3350000</v>
      </c>
      <c r="F144" s="472">
        <v>216108.41</v>
      </c>
      <c r="G144" s="472"/>
      <c r="H144" s="489"/>
      <c r="I144" s="472">
        <v>2973810</v>
      </c>
      <c r="J144" s="472">
        <f t="shared" si="5"/>
        <v>3189918.41</v>
      </c>
    </row>
    <row r="145" spans="2:10" ht="20.25" customHeight="1">
      <c r="B145" s="487"/>
      <c r="C145" s="488" t="s">
        <v>20</v>
      </c>
      <c r="D145" s="470" t="s">
        <v>81</v>
      </c>
      <c r="E145" s="474">
        <f>785000+170000-131223.86</f>
        <v>823776.14</v>
      </c>
      <c r="F145" s="472">
        <v>516591.33</v>
      </c>
      <c r="G145" s="472"/>
      <c r="H145" s="489"/>
      <c r="I145" s="472"/>
      <c r="J145" s="472">
        <f t="shared" si="5"/>
        <v>516591.33</v>
      </c>
    </row>
    <row r="146" spans="2:10" ht="20.25" customHeight="1">
      <c r="B146" s="487"/>
      <c r="C146" s="488" t="s">
        <v>21</v>
      </c>
      <c r="D146" s="470" t="s">
        <v>81</v>
      </c>
      <c r="E146" s="474">
        <v>280000</v>
      </c>
      <c r="F146" s="472">
        <v>271552.63</v>
      </c>
      <c r="G146" s="472"/>
      <c r="H146" s="489"/>
      <c r="I146" s="472"/>
      <c r="J146" s="472">
        <f t="shared" si="5"/>
        <v>271552.63</v>
      </c>
    </row>
    <row r="147" spans="2:10" ht="20.25" customHeight="1">
      <c r="B147" s="487" t="s">
        <v>270</v>
      </c>
      <c r="C147" s="488" t="s">
        <v>22</v>
      </c>
      <c r="D147" s="470" t="s">
        <v>81</v>
      </c>
      <c r="E147" s="474">
        <f>1164000+700000-50000</f>
        <v>1814000</v>
      </c>
      <c r="F147" s="472">
        <v>1519184.58</v>
      </c>
      <c r="G147" s="472"/>
      <c r="H147" s="489"/>
      <c r="I147" s="472"/>
      <c r="J147" s="472">
        <f t="shared" si="5"/>
        <v>1519184.58</v>
      </c>
    </row>
    <row r="148" spans="2:10" ht="20.25" customHeight="1">
      <c r="B148" s="487"/>
      <c r="C148" s="488" t="s">
        <v>23</v>
      </c>
      <c r="D148" s="470" t="s">
        <v>81</v>
      </c>
      <c r="E148" s="474"/>
      <c r="F148" s="472">
        <v>0</v>
      </c>
      <c r="G148" s="472"/>
      <c r="H148" s="489"/>
      <c r="I148" s="472"/>
      <c r="J148" s="472">
        <f t="shared" si="5"/>
        <v>0</v>
      </c>
    </row>
    <row r="149" spans="2:10" ht="20.25" customHeight="1">
      <c r="B149" s="487" t="s">
        <v>271</v>
      </c>
      <c r="C149" s="488" t="s">
        <v>24</v>
      </c>
      <c r="D149" s="470" t="s">
        <v>81</v>
      </c>
      <c r="E149" s="474"/>
      <c r="F149" s="472">
        <v>0</v>
      </c>
      <c r="G149" s="472"/>
      <c r="H149" s="489"/>
      <c r="I149" s="472"/>
      <c r="J149" s="472">
        <f t="shared" si="5"/>
        <v>0</v>
      </c>
    </row>
    <row r="150" spans="2:10" ht="20.25" customHeight="1">
      <c r="B150" s="487" t="s">
        <v>272</v>
      </c>
      <c r="C150" s="488" t="s">
        <v>127</v>
      </c>
      <c r="D150" s="470" t="s">
        <v>81</v>
      </c>
      <c r="E150" s="474">
        <v>211223.86</v>
      </c>
      <c r="F150" s="472">
        <v>211223.86</v>
      </c>
      <c r="G150" s="472"/>
      <c r="H150" s="489"/>
      <c r="I150" s="472"/>
      <c r="J150" s="472">
        <f t="shared" si="5"/>
        <v>211223.86</v>
      </c>
    </row>
    <row r="151" spans="2:10" ht="20.25" customHeight="1" thickBot="1">
      <c r="B151" s="490"/>
      <c r="C151" s="491"/>
      <c r="D151" s="477"/>
      <c r="E151" s="478"/>
      <c r="F151" s="479"/>
      <c r="G151" s="479"/>
      <c r="H151" s="492"/>
      <c r="I151" s="479"/>
      <c r="J151" s="479"/>
    </row>
    <row r="152" spans="2:10" ht="20.25" customHeight="1" thickBot="1">
      <c r="B152" s="713" t="s">
        <v>117</v>
      </c>
      <c r="C152" s="714"/>
      <c r="D152" s="714"/>
      <c r="E152" s="480">
        <f aca="true" t="shared" si="6" ref="E152:J152">SUM(E140:E150)</f>
        <v>10325990</v>
      </c>
      <c r="F152" s="481">
        <f t="shared" si="6"/>
        <v>5279301.8100000005</v>
      </c>
      <c r="G152" s="481">
        <f t="shared" si="6"/>
        <v>0</v>
      </c>
      <c r="H152" s="480">
        <f t="shared" si="6"/>
        <v>0</v>
      </c>
      <c r="I152" s="481">
        <f t="shared" si="6"/>
        <v>2973810</v>
      </c>
      <c r="J152" s="481">
        <f t="shared" si="6"/>
        <v>8253111.8100000005</v>
      </c>
    </row>
    <row r="153" spans="2:10" ht="20.25" customHeight="1" thickTop="1">
      <c r="B153" s="484"/>
      <c r="C153" s="484"/>
      <c r="D153" s="484"/>
      <c r="F153" s="484"/>
      <c r="G153" s="484"/>
      <c r="H153" s="482"/>
      <c r="I153" s="483"/>
      <c r="J153" s="483"/>
    </row>
    <row r="154" spans="2:10" ht="20.25" customHeight="1">
      <c r="B154" s="484" t="s">
        <v>267</v>
      </c>
      <c r="C154" s="484"/>
      <c r="D154" s="484"/>
      <c r="F154" s="484"/>
      <c r="G154" s="484"/>
      <c r="H154" s="482"/>
      <c r="I154" s="483"/>
      <c r="J154" s="483"/>
    </row>
    <row r="155" spans="2:10" ht="20.25" customHeight="1">
      <c r="B155" s="725" t="s">
        <v>168</v>
      </c>
      <c r="C155" s="725"/>
      <c r="D155" s="725"/>
      <c r="E155" s="725"/>
      <c r="F155" s="725"/>
      <c r="G155" s="725"/>
      <c r="H155" s="725"/>
      <c r="I155" s="725"/>
      <c r="J155" s="483"/>
    </row>
    <row r="156" spans="2:10" ht="20.25" customHeight="1">
      <c r="B156" s="725" t="s">
        <v>300</v>
      </c>
      <c r="C156" s="725"/>
      <c r="D156" s="725"/>
      <c r="E156" s="725"/>
      <c r="F156" s="725"/>
      <c r="G156" s="725"/>
      <c r="H156" s="725"/>
      <c r="I156" s="725"/>
      <c r="J156" s="483"/>
    </row>
    <row r="157" spans="2:10" ht="20.25" customHeight="1">
      <c r="B157" s="725" t="s">
        <v>534</v>
      </c>
      <c r="C157" s="725"/>
      <c r="D157" s="725"/>
      <c r="E157" s="725"/>
      <c r="F157" s="725"/>
      <c r="G157" s="725"/>
      <c r="H157" s="725"/>
      <c r="I157" s="725"/>
      <c r="J157" s="483"/>
    </row>
    <row r="158" spans="2:10" ht="20.25" customHeight="1" thickBot="1">
      <c r="B158" s="464"/>
      <c r="C158" s="462"/>
      <c r="D158" s="462"/>
      <c r="E158" s="465"/>
      <c r="F158" s="462"/>
      <c r="G158" s="462"/>
      <c r="H158" s="482"/>
      <c r="I158" s="483"/>
      <c r="J158" s="483"/>
    </row>
    <row r="159" spans="2:10" ht="20.25" customHeight="1">
      <c r="B159" s="729" t="s">
        <v>266</v>
      </c>
      <c r="C159" s="710" t="s">
        <v>1</v>
      </c>
      <c r="D159" s="710" t="s">
        <v>77</v>
      </c>
      <c r="E159" s="737" t="s">
        <v>123</v>
      </c>
      <c r="F159" s="718" t="s">
        <v>301</v>
      </c>
      <c r="G159" s="710" t="s">
        <v>302</v>
      </c>
      <c r="H159" s="733" t="s">
        <v>117</v>
      </c>
      <c r="I159" s="736"/>
      <c r="J159" s="494"/>
    </row>
    <row r="160" spans="2:10" ht="20.25" customHeight="1">
      <c r="B160" s="730"/>
      <c r="C160" s="711"/>
      <c r="D160" s="711"/>
      <c r="E160" s="738"/>
      <c r="F160" s="719"/>
      <c r="G160" s="711"/>
      <c r="H160" s="734"/>
      <c r="I160" s="736"/>
      <c r="J160" s="494"/>
    </row>
    <row r="161" spans="2:10" ht="20.25" customHeight="1">
      <c r="B161" s="730"/>
      <c r="C161" s="711"/>
      <c r="D161" s="711"/>
      <c r="E161" s="738"/>
      <c r="F161" s="719"/>
      <c r="G161" s="711"/>
      <c r="H161" s="734"/>
      <c r="I161" s="736"/>
      <c r="J161" s="494"/>
    </row>
    <row r="162" spans="2:10" ht="20.25" customHeight="1" thickBot="1">
      <c r="B162" s="731"/>
      <c r="C162" s="732"/>
      <c r="D162" s="712"/>
      <c r="E162" s="739"/>
      <c r="F162" s="721"/>
      <c r="G162" s="712"/>
      <c r="H162" s="735"/>
      <c r="I162" s="736"/>
      <c r="J162" s="494"/>
    </row>
    <row r="163" spans="2:10" ht="20.25" customHeight="1">
      <c r="B163" s="487" t="s">
        <v>269</v>
      </c>
      <c r="C163" s="488" t="s">
        <v>18</v>
      </c>
      <c r="D163" s="473"/>
      <c r="E163" s="471"/>
      <c r="F163" s="472"/>
      <c r="G163" s="472"/>
      <c r="H163" s="489"/>
      <c r="I163" s="495"/>
      <c r="J163" s="496"/>
    </row>
    <row r="164" spans="2:10" ht="20.25" customHeight="1">
      <c r="B164" s="487"/>
      <c r="C164" s="488" t="s">
        <v>19</v>
      </c>
      <c r="D164" s="470" t="s">
        <v>81</v>
      </c>
      <c r="E164" s="474">
        <f>700000+30000-160000</f>
        <v>570000</v>
      </c>
      <c r="F164" s="472">
        <v>517627</v>
      </c>
      <c r="G164" s="472"/>
      <c r="H164" s="489">
        <f>SUM(F164:G164)</f>
        <v>517627</v>
      </c>
      <c r="I164" s="495"/>
      <c r="J164" s="496"/>
    </row>
    <row r="165" spans="2:10" ht="20.25" customHeight="1">
      <c r="B165" s="487"/>
      <c r="C165" s="488" t="s">
        <v>20</v>
      </c>
      <c r="D165" s="470"/>
      <c r="E165" s="474"/>
      <c r="F165" s="472"/>
      <c r="G165" s="472"/>
      <c r="H165" s="489"/>
      <c r="I165" s="495"/>
      <c r="J165" s="496"/>
    </row>
    <row r="166" spans="2:10" ht="20.25" customHeight="1">
      <c r="B166" s="487"/>
      <c r="C166" s="488" t="s">
        <v>21</v>
      </c>
      <c r="D166" s="470"/>
      <c r="E166" s="474"/>
      <c r="F166" s="472"/>
      <c r="G166" s="472"/>
      <c r="H166" s="489"/>
      <c r="I166" s="495"/>
      <c r="J166" s="496"/>
    </row>
    <row r="167" spans="2:10" ht="20.25" customHeight="1">
      <c r="B167" s="487" t="s">
        <v>270</v>
      </c>
      <c r="C167" s="488" t="s">
        <v>22</v>
      </c>
      <c r="D167" s="470"/>
      <c r="E167" s="474"/>
      <c r="F167" s="472"/>
      <c r="G167" s="472"/>
      <c r="H167" s="489"/>
      <c r="I167" s="495"/>
      <c r="J167" s="496"/>
    </row>
    <row r="168" spans="2:10" ht="20.25" customHeight="1">
      <c r="B168" s="487"/>
      <c r="C168" s="488" t="s">
        <v>23</v>
      </c>
      <c r="D168" s="470"/>
      <c r="E168" s="474"/>
      <c r="F168" s="472"/>
      <c r="G168" s="472"/>
      <c r="H168" s="489"/>
      <c r="I168" s="495"/>
      <c r="J168" s="496"/>
    </row>
    <row r="169" spans="2:10" ht="20.25" customHeight="1">
      <c r="B169" s="487" t="s">
        <v>271</v>
      </c>
      <c r="C169" s="488" t="s">
        <v>24</v>
      </c>
      <c r="D169" s="470"/>
      <c r="E169" s="474"/>
      <c r="F169" s="472"/>
      <c r="G169" s="472"/>
      <c r="H169" s="489"/>
      <c r="I169" s="495"/>
      <c r="J169" s="496"/>
    </row>
    <row r="170" spans="2:10" ht="20.25" customHeight="1" thickBot="1">
      <c r="B170" s="487" t="s">
        <v>272</v>
      </c>
      <c r="C170" s="488" t="s">
        <v>127</v>
      </c>
      <c r="D170" s="470" t="s">
        <v>81</v>
      </c>
      <c r="E170" s="474">
        <v>165000</v>
      </c>
      <c r="F170" s="472"/>
      <c r="G170" s="472"/>
      <c r="H170" s="489"/>
      <c r="I170" s="495"/>
      <c r="J170" s="496"/>
    </row>
    <row r="171" spans="2:10" ht="20.25" customHeight="1" thickBot="1">
      <c r="B171" s="713" t="s">
        <v>117</v>
      </c>
      <c r="C171" s="714"/>
      <c r="D171" s="714"/>
      <c r="E171" s="498">
        <f>SUM(E164:E170)</f>
        <v>735000</v>
      </c>
      <c r="F171" s="499">
        <f>SUM(F164:F169)</f>
        <v>517627</v>
      </c>
      <c r="G171" s="499">
        <f>SUM(G164:G169)</f>
        <v>0</v>
      </c>
      <c r="H171" s="498">
        <f>SUM(H164:H169)</f>
        <v>517627</v>
      </c>
      <c r="I171" s="497"/>
      <c r="J171" s="496"/>
    </row>
    <row r="172" spans="2:10" ht="20.25" customHeight="1" thickTop="1">
      <c r="B172" s="484"/>
      <c r="C172" s="484"/>
      <c r="D172" s="484"/>
      <c r="F172" s="484"/>
      <c r="G172" s="484"/>
      <c r="H172" s="482"/>
      <c r="I172" s="483"/>
      <c r="J172" s="483"/>
    </row>
    <row r="173" spans="2:10" ht="20.25" customHeight="1">
      <c r="B173" s="484" t="s">
        <v>267</v>
      </c>
      <c r="C173" s="484"/>
      <c r="D173" s="484"/>
      <c r="F173" s="484"/>
      <c r="G173" s="484"/>
      <c r="H173" s="482"/>
      <c r="I173" s="483"/>
      <c r="J173" s="483"/>
    </row>
    <row r="174" spans="2:10" ht="20.25" customHeight="1">
      <c r="B174" s="484"/>
      <c r="C174" s="484"/>
      <c r="D174" s="484"/>
      <c r="F174" s="484"/>
      <c r="G174" s="484"/>
      <c r="H174" s="482"/>
      <c r="I174" s="483"/>
      <c r="J174" s="483"/>
    </row>
    <row r="175" spans="2:10" ht="20.25" customHeight="1">
      <c r="B175" s="484"/>
      <c r="C175" s="484"/>
      <c r="D175" s="484"/>
      <c r="F175" s="484"/>
      <c r="G175" s="484"/>
      <c r="H175" s="482"/>
      <c r="I175" s="483"/>
      <c r="J175" s="483"/>
    </row>
    <row r="176" spans="2:10" ht="20.25" customHeight="1">
      <c r="B176" s="484"/>
      <c r="C176" s="484"/>
      <c r="D176" s="484"/>
      <c r="F176" s="484"/>
      <c r="G176" s="484"/>
      <c r="H176" s="482"/>
      <c r="I176" s="483"/>
      <c r="J176" s="483"/>
    </row>
    <row r="177" spans="2:10" ht="20.25" customHeight="1">
      <c r="B177" s="725" t="s">
        <v>168</v>
      </c>
      <c r="C177" s="725"/>
      <c r="D177" s="725"/>
      <c r="E177" s="725"/>
      <c r="F177" s="725"/>
      <c r="G177" s="725"/>
      <c r="H177" s="725"/>
      <c r="I177" s="725"/>
      <c r="J177" s="483"/>
    </row>
    <row r="178" spans="2:10" ht="20.25" customHeight="1">
      <c r="B178" s="725" t="s">
        <v>303</v>
      </c>
      <c r="C178" s="725"/>
      <c r="D178" s="725"/>
      <c r="E178" s="725"/>
      <c r="F178" s="725"/>
      <c r="G178" s="725"/>
      <c r="H178" s="725"/>
      <c r="I178" s="725"/>
      <c r="J178" s="483"/>
    </row>
    <row r="179" spans="2:10" ht="20.25" customHeight="1">
      <c r="B179" s="725" t="s">
        <v>534</v>
      </c>
      <c r="C179" s="725"/>
      <c r="D179" s="725"/>
      <c r="E179" s="725"/>
      <c r="F179" s="725"/>
      <c r="G179" s="725"/>
      <c r="H179" s="725"/>
      <c r="I179" s="725"/>
      <c r="J179" s="483"/>
    </row>
    <row r="180" spans="2:10" ht="20.25" customHeight="1" thickBot="1">
      <c r="B180" s="464"/>
      <c r="C180" s="462"/>
      <c r="D180" s="462"/>
      <c r="E180" s="465"/>
      <c r="F180" s="462"/>
      <c r="G180" s="462"/>
      <c r="H180" s="482"/>
      <c r="I180" s="483"/>
      <c r="J180" s="483"/>
    </row>
    <row r="181" spans="2:10" ht="20.25" customHeight="1">
      <c r="B181" s="715" t="s">
        <v>266</v>
      </c>
      <c r="C181" s="718" t="s">
        <v>1</v>
      </c>
      <c r="D181" s="718" t="s">
        <v>77</v>
      </c>
      <c r="E181" s="722" t="s">
        <v>123</v>
      </c>
      <c r="F181" s="740" t="s">
        <v>304</v>
      </c>
      <c r="G181" s="718" t="s">
        <v>305</v>
      </c>
      <c r="H181" s="726" t="s">
        <v>306</v>
      </c>
      <c r="I181" s="718" t="s">
        <v>307</v>
      </c>
      <c r="J181" s="718" t="s">
        <v>117</v>
      </c>
    </row>
    <row r="182" spans="2:10" ht="20.25" customHeight="1">
      <c r="B182" s="716"/>
      <c r="C182" s="719"/>
      <c r="D182" s="719"/>
      <c r="E182" s="723"/>
      <c r="F182" s="741"/>
      <c r="G182" s="719"/>
      <c r="H182" s="727"/>
      <c r="I182" s="719"/>
      <c r="J182" s="719"/>
    </row>
    <row r="183" spans="2:10" ht="20.25" customHeight="1">
      <c r="B183" s="716"/>
      <c r="C183" s="719"/>
      <c r="D183" s="719"/>
      <c r="E183" s="723"/>
      <c r="F183" s="741"/>
      <c r="G183" s="719"/>
      <c r="H183" s="727"/>
      <c r="I183" s="719"/>
      <c r="J183" s="719"/>
    </row>
    <row r="184" spans="2:10" ht="20.25" customHeight="1" thickBot="1">
      <c r="B184" s="717"/>
      <c r="C184" s="720"/>
      <c r="D184" s="721"/>
      <c r="E184" s="724"/>
      <c r="F184" s="742"/>
      <c r="G184" s="721"/>
      <c r="H184" s="728"/>
      <c r="I184" s="721"/>
      <c r="J184" s="721"/>
    </row>
    <row r="185" spans="2:10" ht="20.25" customHeight="1">
      <c r="B185" s="487" t="s">
        <v>269</v>
      </c>
      <c r="C185" s="488" t="s">
        <v>18</v>
      </c>
      <c r="D185" s="473"/>
      <c r="E185" s="471"/>
      <c r="F185" s="472"/>
      <c r="G185" s="472"/>
      <c r="H185" s="489"/>
      <c r="I185" s="472"/>
      <c r="J185" s="472"/>
    </row>
    <row r="186" spans="2:10" ht="20.25" customHeight="1">
      <c r="B186" s="487"/>
      <c r="C186" s="488" t="s">
        <v>19</v>
      </c>
      <c r="D186" s="470" t="s">
        <v>81</v>
      </c>
      <c r="E186" s="474">
        <f>100000+370000</f>
        <v>470000</v>
      </c>
      <c r="F186" s="472"/>
      <c r="G186" s="472"/>
      <c r="H186" s="489">
        <v>130425</v>
      </c>
      <c r="I186" s="472"/>
      <c r="J186" s="472">
        <f>SUM(H186:I186)</f>
        <v>130425</v>
      </c>
    </row>
    <row r="187" spans="2:10" ht="20.25" customHeight="1">
      <c r="B187" s="487"/>
      <c r="C187" s="488" t="s">
        <v>20</v>
      </c>
      <c r="D187" s="473"/>
      <c r="E187" s="474"/>
      <c r="F187" s="472"/>
      <c r="G187" s="472"/>
      <c r="H187" s="489"/>
      <c r="I187" s="472"/>
      <c r="J187" s="472"/>
    </row>
    <row r="188" spans="2:10" ht="20.25" customHeight="1">
      <c r="B188" s="487"/>
      <c r="C188" s="488" t="s">
        <v>21</v>
      </c>
      <c r="D188" s="473"/>
      <c r="E188" s="474"/>
      <c r="F188" s="472"/>
      <c r="G188" s="472"/>
      <c r="H188" s="489"/>
      <c r="I188" s="472"/>
      <c r="J188" s="472"/>
    </row>
    <row r="189" spans="2:10" ht="20.25" customHeight="1">
      <c r="B189" s="487" t="s">
        <v>270</v>
      </c>
      <c r="C189" s="488" t="s">
        <v>22</v>
      </c>
      <c r="D189" s="473"/>
      <c r="E189" s="474"/>
      <c r="F189" s="472"/>
      <c r="G189" s="472"/>
      <c r="H189" s="489"/>
      <c r="I189" s="472"/>
      <c r="J189" s="472"/>
    </row>
    <row r="190" spans="2:10" ht="20.25" customHeight="1">
      <c r="B190" s="487"/>
      <c r="C190" s="488" t="s">
        <v>23</v>
      </c>
      <c r="D190" s="473"/>
      <c r="E190" s="474"/>
      <c r="F190" s="472"/>
      <c r="G190" s="472"/>
      <c r="H190" s="489"/>
      <c r="I190" s="472"/>
      <c r="J190" s="472"/>
    </row>
    <row r="191" spans="2:10" ht="20.25" customHeight="1">
      <c r="B191" s="487" t="s">
        <v>271</v>
      </c>
      <c r="C191" s="488" t="s">
        <v>24</v>
      </c>
      <c r="D191" s="473"/>
      <c r="E191" s="474"/>
      <c r="F191" s="472"/>
      <c r="G191" s="472"/>
      <c r="H191" s="489"/>
      <c r="I191" s="472"/>
      <c r="J191" s="472"/>
    </row>
    <row r="192" spans="2:10" ht="20.25" customHeight="1">
      <c r="B192" s="487" t="s">
        <v>272</v>
      </c>
      <c r="C192" s="488" t="s">
        <v>127</v>
      </c>
      <c r="D192" s="470" t="s">
        <v>81</v>
      </c>
      <c r="E192" s="474">
        <v>100000</v>
      </c>
      <c r="F192" s="472"/>
      <c r="G192" s="472"/>
      <c r="H192" s="489">
        <v>100000</v>
      </c>
      <c r="I192" s="472"/>
      <c r="J192" s="472">
        <f>SUM(H192:I192)</f>
        <v>100000</v>
      </c>
    </row>
    <row r="193" spans="2:10" ht="20.25" customHeight="1" thickBot="1">
      <c r="B193" s="490"/>
      <c r="C193" s="491"/>
      <c r="D193" s="477"/>
      <c r="E193" s="478"/>
      <c r="F193" s="479"/>
      <c r="G193" s="479"/>
      <c r="H193" s="492"/>
      <c r="I193" s="479"/>
      <c r="J193" s="479"/>
    </row>
    <row r="194" spans="2:10" ht="20.25" customHeight="1" thickBot="1">
      <c r="B194" s="713" t="s">
        <v>117</v>
      </c>
      <c r="C194" s="714"/>
      <c r="D194" s="714"/>
      <c r="E194" s="480">
        <f aca="true" t="shared" si="7" ref="E194:J194">SUM(E185:E193)</f>
        <v>570000</v>
      </c>
      <c r="F194" s="481">
        <f t="shared" si="7"/>
        <v>0</v>
      </c>
      <c r="G194" s="481">
        <f t="shared" si="7"/>
        <v>0</v>
      </c>
      <c r="H194" s="480">
        <f t="shared" si="7"/>
        <v>230425</v>
      </c>
      <c r="I194" s="481">
        <f t="shared" si="7"/>
        <v>0</v>
      </c>
      <c r="J194" s="481">
        <f t="shared" si="7"/>
        <v>230425</v>
      </c>
    </row>
    <row r="195" spans="2:10" ht="20.25" customHeight="1" thickTop="1">
      <c r="B195" s="484"/>
      <c r="C195" s="484"/>
      <c r="D195" s="484"/>
      <c r="F195" s="484"/>
      <c r="G195" s="484"/>
      <c r="H195" s="482"/>
      <c r="I195" s="483"/>
      <c r="J195" s="483"/>
    </row>
    <row r="196" spans="2:10" ht="20.25" customHeight="1">
      <c r="B196" s="484" t="s">
        <v>267</v>
      </c>
      <c r="C196" s="484"/>
      <c r="D196" s="484"/>
      <c r="F196" s="484"/>
      <c r="G196" s="484"/>
      <c r="H196" s="482"/>
      <c r="I196" s="483"/>
      <c r="J196" s="483"/>
    </row>
    <row r="197" spans="2:10" ht="20.25" customHeight="1">
      <c r="B197" s="484"/>
      <c r="C197" s="484"/>
      <c r="D197" s="484"/>
      <c r="F197" s="484"/>
      <c r="G197" s="484"/>
      <c r="H197" s="482"/>
      <c r="I197" s="483"/>
      <c r="J197" s="483"/>
    </row>
    <row r="198" spans="2:10" ht="20.25" customHeight="1">
      <c r="B198" s="484"/>
      <c r="C198" s="484"/>
      <c r="D198" s="484"/>
      <c r="F198" s="484"/>
      <c r="G198" s="484"/>
      <c r="H198" s="482"/>
      <c r="I198" s="483"/>
      <c r="J198" s="483"/>
    </row>
    <row r="199" spans="2:10" ht="20.25" customHeight="1">
      <c r="B199" s="725" t="s">
        <v>168</v>
      </c>
      <c r="C199" s="725"/>
      <c r="D199" s="725"/>
      <c r="E199" s="725"/>
      <c r="F199" s="725"/>
      <c r="G199" s="725"/>
      <c r="H199" s="725"/>
      <c r="I199" s="725"/>
      <c r="J199" s="483"/>
    </row>
    <row r="200" spans="2:10" ht="20.25" customHeight="1">
      <c r="B200" s="725" t="s">
        <v>308</v>
      </c>
      <c r="C200" s="725"/>
      <c r="D200" s="725"/>
      <c r="E200" s="725"/>
      <c r="F200" s="725"/>
      <c r="G200" s="725"/>
      <c r="H200" s="725"/>
      <c r="I200" s="725"/>
      <c r="J200" s="483"/>
    </row>
    <row r="201" spans="2:10" ht="20.25" customHeight="1">
      <c r="B201" s="725" t="s">
        <v>534</v>
      </c>
      <c r="C201" s="725"/>
      <c r="D201" s="725"/>
      <c r="E201" s="725"/>
      <c r="F201" s="725"/>
      <c r="G201" s="725"/>
      <c r="H201" s="725"/>
      <c r="I201" s="725"/>
      <c r="J201" s="483"/>
    </row>
    <row r="202" spans="2:10" ht="20.25" customHeight="1" thickBot="1">
      <c r="B202" s="464"/>
      <c r="C202" s="462"/>
      <c r="D202" s="462"/>
      <c r="E202" s="465"/>
      <c r="F202" s="462"/>
      <c r="G202" s="462"/>
      <c r="H202" s="482"/>
      <c r="I202" s="483"/>
      <c r="J202" s="483"/>
    </row>
    <row r="203" spans="2:10" ht="20.25" customHeight="1">
      <c r="B203" s="729" t="s">
        <v>266</v>
      </c>
      <c r="C203" s="710" t="s">
        <v>1</v>
      </c>
      <c r="D203" s="710" t="s">
        <v>77</v>
      </c>
      <c r="E203" s="737" t="s">
        <v>123</v>
      </c>
      <c r="F203" s="718" t="s">
        <v>309</v>
      </c>
      <c r="G203" s="710" t="s">
        <v>310</v>
      </c>
      <c r="H203" s="733" t="s">
        <v>117</v>
      </c>
      <c r="I203" s="736"/>
      <c r="J203" s="494"/>
    </row>
    <row r="204" spans="2:10" ht="20.25" customHeight="1">
      <c r="B204" s="730"/>
      <c r="C204" s="711"/>
      <c r="D204" s="711"/>
      <c r="E204" s="738"/>
      <c r="F204" s="719"/>
      <c r="G204" s="711"/>
      <c r="H204" s="734"/>
      <c r="I204" s="736"/>
      <c r="J204" s="494"/>
    </row>
    <row r="205" spans="2:10" ht="20.25" customHeight="1">
      <c r="B205" s="730"/>
      <c r="C205" s="711"/>
      <c r="D205" s="711"/>
      <c r="E205" s="738"/>
      <c r="F205" s="719"/>
      <c r="G205" s="711"/>
      <c r="H205" s="734"/>
      <c r="I205" s="736"/>
      <c r="J205" s="494"/>
    </row>
    <row r="206" spans="2:10" ht="20.25" customHeight="1" thickBot="1">
      <c r="B206" s="731"/>
      <c r="C206" s="732"/>
      <c r="D206" s="712"/>
      <c r="E206" s="739"/>
      <c r="F206" s="721"/>
      <c r="G206" s="712"/>
      <c r="H206" s="735"/>
      <c r="I206" s="736"/>
      <c r="J206" s="494"/>
    </row>
    <row r="207" spans="2:10" ht="20.25" customHeight="1">
      <c r="B207" s="487" t="s">
        <v>269</v>
      </c>
      <c r="C207" s="488" t="s">
        <v>18</v>
      </c>
      <c r="D207" s="473"/>
      <c r="E207" s="471"/>
      <c r="F207" s="472"/>
      <c r="G207" s="472"/>
      <c r="H207" s="489"/>
      <c r="I207" s="495"/>
      <c r="J207" s="496"/>
    </row>
    <row r="208" spans="2:10" ht="20.25" customHeight="1">
      <c r="B208" s="487"/>
      <c r="C208" s="488" t="s">
        <v>19</v>
      </c>
      <c r="D208" s="473"/>
      <c r="E208" s="474"/>
      <c r="F208" s="472"/>
      <c r="G208" s="472"/>
      <c r="H208" s="489"/>
      <c r="I208" s="495"/>
      <c r="J208" s="496"/>
    </row>
    <row r="209" spans="2:10" ht="20.25" customHeight="1">
      <c r="B209" s="487"/>
      <c r="C209" s="488" t="s">
        <v>20</v>
      </c>
      <c r="D209" s="473"/>
      <c r="E209" s="474"/>
      <c r="F209" s="472"/>
      <c r="G209" s="472"/>
      <c r="H209" s="489"/>
      <c r="I209" s="495"/>
      <c r="J209" s="496"/>
    </row>
    <row r="210" spans="2:10" ht="20.25" customHeight="1">
      <c r="B210" s="487"/>
      <c r="C210" s="488" t="s">
        <v>21</v>
      </c>
      <c r="D210" s="473"/>
      <c r="E210" s="474"/>
      <c r="F210" s="472"/>
      <c r="G210" s="472"/>
      <c r="H210" s="489"/>
      <c r="I210" s="495"/>
      <c r="J210" s="496"/>
    </row>
    <row r="211" spans="2:10" ht="20.25" customHeight="1">
      <c r="B211" s="487" t="s">
        <v>270</v>
      </c>
      <c r="C211" s="488" t="s">
        <v>22</v>
      </c>
      <c r="D211" s="473"/>
      <c r="E211" s="474"/>
      <c r="F211" s="472"/>
      <c r="G211" s="472"/>
      <c r="H211" s="489"/>
      <c r="I211" s="495"/>
      <c r="J211" s="496"/>
    </row>
    <row r="212" spans="2:10" ht="20.25" customHeight="1">
      <c r="B212" s="487"/>
      <c r="C212" s="488" t="s">
        <v>23</v>
      </c>
      <c r="D212" s="473" t="s">
        <v>81</v>
      </c>
      <c r="E212" s="474">
        <f>7559000+4344977.02-4294977.02</f>
        <v>7609000</v>
      </c>
      <c r="F212" s="472">
        <v>7607522.98</v>
      </c>
      <c r="G212" s="472"/>
      <c r="H212" s="489">
        <f>SUM(F212:G212)</f>
        <v>7607522.98</v>
      </c>
      <c r="I212" s="495"/>
      <c r="J212" s="496"/>
    </row>
    <row r="213" spans="2:10" ht="20.25" customHeight="1">
      <c r="B213" s="487" t="s">
        <v>271</v>
      </c>
      <c r="C213" s="488" t="s">
        <v>24</v>
      </c>
      <c r="D213" s="473"/>
      <c r="E213" s="474"/>
      <c r="F213" s="472"/>
      <c r="G213" s="472"/>
      <c r="H213" s="489"/>
      <c r="I213" s="495"/>
      <c r="J213" s="496"/>
    </row>
    <row r="214" spans="2:10" ht="20.25" customHeight="1" thickBot="1">
      <c r="B214" s="487" t="s">
        <v>272</v>
      </c>
      <c r="C214" s="488" t="s">
        <v>127</v>
      </c>
      <c r="D214" s="473"/>
      <c r="E214" s="474"/>
      <c r="F214" s="472"/>
      <c r="G214" s="472"/>
      <c r="H214" s="489"/>
      <c r="I214" s="495"/>
      <c r="J214" s="496"/>
    </row>
    <row r="215" spans="2:10" ht="20.25" customHeight="1" thickBot="1">
      <c r="B215" s="713" t="s">
        <v>117</v>
      </c>
      <c r="C215" s="714"/>
      <c r="D215" s="714"/>
      <c r="E215" s="493">
        <f>SUM(E212:E214)</f>
        <v>7609000</v>
      </c>
      <c r="F215" s="499">
        <f>SUM(F207:F214)</f>
        <v>7607522.98</v>
      </c>
      <c r="G215" s="499">
        <f>SUM(G207:G214)</f>
        <v>0</v>
      </c>
      <c r="H215" s="498">
        <f>SUM(H207:H214)</f>
        <v>7607522.98</v>
      </c>
      <c r="I215" s="497"/>
      <c r="J215" s="496"/>
    </row>
    <row r="216" spans="2:10" ht="20.25" customHeight="1" thickTop="1">
      <c r="B216" s="484"/>
      <c r="C216" s="484"/>
      <c r="D216" s="484"/>
      <c r="F216" s="484"/>
      <c r="G216" s="484"/>
      <c r="H216" s="482"/>
      <c r="I216" s="483"/>
      <c r="J216" s="483"/>
    </row>
    <row r="217" spans="2:10" ht="20.25" customHeight="1">
      <c r="B217" s="484" t="s">
        <v>267</v>
      </c>
      <c r="C217" s="484"/>
      <c r="D217" s="484"/>
      <c r="F217" s="484"/>
      <c r="G217" s="484"/>
      <c r="H217" s="482"/>
      <c r="I217" s="483"/>
      <c r="J217" s="483"/>
    </row>
    <row r="218" spans="2:10" ht="20.25" customHeight="1">
      <c r="B218" s="484"/>
      <c r="C218" s="484"/>
      <c r="D218" s="484"/>
      <c r="F218" s="484"/>
      <c r="G218" s="484"/>
      <c r="H218" s="482"/>
      <c r="I218" s="483"/>
      <c r="J218" s="483"/>
    </row>
    <row r="219" spans="2:10" ht="20.25" customHeight="1">
      <c r="B219" s="484"/>
      <c r="C219" s="484"/>
      <c r="D219" s="484"/>
      <c r="F219" s="484"/>
      <c r="G219" s="484"/>
      <c r="H219" s="482"/>
      <c r="I219" s="483"/>
      <c r="J219" s="483"/>
    </row>
    <row r="220" spans="2:10" ht="20.25" customHeight="1">
      <c r="B220" s="484"/>
      <c r="C220" s="484"/>
      <c r="D220" s="484"/>
      <c r="F220" s="484"/>
      <c r="G220" s="484"/>
      <c r="H220" s="482"/>
      <c r="I220" s="483"/>
      <c r="J220" s="483"/>
    </row>
    <row r="221" spans="2:10" ht="20.25" customHeight="1">
      <c r="B221" s="725" t="s">
        <v>168</v>
      </c>
      <c r="C221" s="725"/>
      <c r="D221" s="725"/>
      <c r="E221" s="725"/>
      <c r="F221" s="725"/>
      <c r="G221" s="725"/>
      <c r="H221" s="725"/>
      <c r="I221" s="725"/>
      <c r="J221" s="483"/>
    </row>
    <row r="222" spans="2:10" ht="20.25" customHeight="1">
      <c r="B222" s="725" t="s">
        <v>311</v>
      </c>
      <c r="C222" s="725"/>
      <c r="D222" s="725"/>
      <c r="E222" s="725"/>
      <c r="F222" s="725"/>
      <c r="G222" s="725"/>
      <c r="H222" s="725"/>
      <c r="I222" s="725"/>
      <c r="J222" s="483"/>
    </row>
    <row r="223" spans="2:10" ht="20.25" customHeight="1">
      <c r="B223" s="725" t="s">
        <v>534</v>
      </c>
      <c r="C223" s="725"/>
      <c r="D223" s="725"/>
      <c r="E223" s="725"/>
      <c r="F223" s="725"/>
      <c r="G223" s="725"/>
      <c r="H223" s="725"/>
      <c r="I223" s="725"/>
      <c r="J223" s="483"/>
    </row>
    <row r="224" spans="2:10" ht="20.25" customHeight="1" thickBot="1">
      <c r="B224" s="464"/>
      <c r="C224" s="462"/>
      <c r="D224" s="462"/>
      <c r="E224" s="465"/>
      <c r="F224" s="462"/>
      <c r="G224" s="462"/>
      <c r="H224" s="482"/>
      <c r="I224" s="483"/>
      <c r="J224" s="483"/>
    </row>
    <row r="225" spans="2:10" ht="20.25" customHeight="1">
      <c r="B225" s="729" t="s">
        <v>266</v>
      </c>
      <c r="C225" s="710" t="s">
        <v>1</v>
      </c>
      <c r="D225" s="710" t="s">
        <v>77</v>
      </c>
      <c r="E225" s="737" t="s">
        <v>123</v>
      </c>
      <c r="F225" s="718" t="s">
        <v>312</v>
      </c>
      <c r="G225" s="710" t="s">
        <v>313</v>
      </c>
      <c r="H225" s="733" t="s">
        <v>117</v>
      </c>
      <c r="I225" s="736"/>
      <c r="J225" s="494"/>
    </row>
    <row r="226" spans="2:10" ht="20.25" customHeight="1">
      <c r="B226" s="730"/>
      <c r="C226" s="711"/>
      <c r="D226" s="711"/>
      <c r="E226" s="738"/>
      <c r="F226" s="719"/>
      <c r="G226" s="711"/>
      <c r="H226" s="734"/>
      <c r="I226" s="736"/>
      <c r="J226" s="494"/>
    </row>
    <row r="227" spans="2:10" ht="20.25" customHeight="1">
      <c r="B227" s="730"/>
      <c r="C227" s="711"/>
      <c r="D227" s="711"/>
      <c r="E227" s="738"/>
      <c r="F227" s="719"/>
      <c r="G227" s="711"/>
      <c r="H227" s="734"/>
      <c r="I227" s="736"/>
      <c r="J227" s="494"/>
    </row>
    <row r="228" spans="2:10" ht="20.25" customHeight="1" thickBot="1">
      <c r="B228" s="731"/>
      <c r="C228" s="732"/>
      <c r="D228" s="712"/>
      <c r="E228" s="739"/>
      <c r="F228" s="721"/>
      <c r="G228" s="712"/>
      <c r="H228" s="735"/>
      <c r="I228" s="736"/>
      <c r="J228" s="494"/>
    </row>
    <row r="229" spans="2:10" ht="20.25" customHeight="1">
      <c r="B229" s="487" t="s">
        <v>268</v>
      </c>
      <c r="C229" s="488" t="s">
        <v>146</v>
      </c>
      <c r="D229" s="473"/>
      <c r="E229" s="471"/>
      <c r="F229" s="472"/>
      <c r="G229" s="472"/>
      <c r="H229" s="489"/>
      <c r="I229" s="495"/>
      <c r="J229" s="496"/>
    </row>
    <row r="230" spans="2:10" ht="20.25" customHeight="1">
      <c r="B230" s="487"/>
      <c r="C230" s="488" t="s">
        <v>148</v>
      </c>
      <c r="D230" s="473"/>
      <c r="E230" s="471"/>
      <c r="F230" s="472"/>
      <c r="G230" s="472"/>
      <c r="H230" s="489"/>
      <c r="I230" s="495"/>
      <c r="J230" s="496"/>
    </row>
    <row r="231" spans="2:10" ht="20.25" customHeight="1">
      <c r="B231" s="487" t="s">
        <v>269</v>
      </c>
      <c r="C231" s="488" t="s">
        <v>18</v>
      </c>
      <c r="D231" s="473"/>
      <c r="E231" s="471"/>
      <c r="F231" s="472"/>
      <c r="G231" s="472"/>
      <c r="H231" s="489"/>
      <c r="I231" s="495"/>
      <c r="J231" s="496"/>
    </row>
    <row r="232" spans="2:10" ht="20.25" customHeight="1">
      <c r="B232" s="487"/>
      <c r="C232" s="488" t="s">
        <v>19</v>
      </c>
      <c r="D232" s="473" t="s">
        <v>81</v>
      </c>
      <c r="E232" s="474">
        <v>100000</v>
      </c>
      <c r="F232" s="472"/>
      <c r="G232" s="472"/>
      <c r="H232" s="489"/>
      <c r="I232" s="495"/>
      <c r="J232" s="496"/>
    </row>
    <row r="233" spans="2:10" ht="20.25" customHeight="1">
      <c r="B233" s="487"/>
      <c r="C233" s="488" t="s">
        <v>20</v>
      </c>
      <c r="D233" s="473"/>
      <c r="E233" s="474"/>
      <c r="F233" s="472"/>
      <c r="G233" s="472"/>
      <c r="H233" s="489"/>
      <c r="I233" s="495"/>
      <c r="J233" s="496"/>
    </row>
    <row r="234" spans="2:10" ht="20.25" customHeight="1">
      <c r="B234" s="487"/>
      <c r="C234" s="488" t="s">
        <v>21</v>
      </c>
      <c r="D234" s="473"/>
      <c r="E234" s="474"/>
      <c r="F234" s="472"/>
      <c r="G234" s="472"/>
      <c r="H234" s="489"/>
      <c r="I234" s="495"/>
      <c r="J234" s="496"/>
    </row>
    <row r="235" spans="2:10" ht="20.25" customHeight="1">
      <c r="B235" s="487" t="s">
        <v>270</v>
      </c>
      <c r="C235" s="488" t="s">
        <v>22</v>
      </c>
      <c r="D235" s="473"/>
      <c r="E235" s="474"/>
      <c r="F235" s="472"/>
      <c r="G235" s="472"/>
      <c r="H235" s="489"/>
      <c r="I235" s="495"/>
      <c r="J235" s="496"/>
    </row>
    <row r="236" spans="2:10" ht="20.25" customHeight="1">
      <c r="B236" s="487"/>
      <c r="C236" s="488" t="s">
        <v>23</v>
      </c>
      <c r="D236" s="473"/>
      <c r="E236" s="474"/>
      <c r="F236" s="472"/>
      <c r="G236" s="472"/>
      <c r="H236" s="489"/>
      <c r="I236" s="495"/>
      <c r="J236" s="496"/>
    </row>
    <row r="237" spans="2:10" ht="20.25" customHeight="1">
      <c r="B237" s="487" t="s">
        <v>271</v>
      </c>
      <c r="C237" s="488" t="s">
        <v>24</v>
      </c>
      <c r="D237" s="473"/>
      <c r="E237" s="474"/>
      <c r="F237" s="472"/>
      <c r="G237" s="472"/>
      <c r="H237" s="489"/>
      <c r="I237" s="495"/>
      <c r="J237" s="496"/>
    </row>
    <row r="238" spans="2:10" ht="20.25" customHeight="1" thickBot="1">
      <c r="B238" s="487" t="s">
        <v>272</v>
      </c>
      <c r="C238" s="488" t="s">
        <v>127</v>
      </c>
      <c r="D238" s="473"/>
      <c r="E238" s="474"/>
      <c r="F238" s="472"/>
      <c r="G238" s="472"/>
      <c r="H238" s="489"/>
      <c r="I238" s="495"/>
      <c r="J238" s="496"/>
    </row>
    <row r="239" spans="2:10" ht="20.25" customHeight="1" thickBot="1">
      <c r="B239" s="713" t="s">
        <v>117</v>
      </c>
      <c r="C239" s="714"/>
      <c r="D239" s="714"/>
      <c r="E239" s="493">
        <f>SUM(E232:E238)</f>
        <v>100000</v>
      </c>
      <c r="F239" s="499">
        <v>0</v>
      </c>
      <c r="G239" s="499">
        <v>0</v>
      </c>
      <c r="H239" s="498">
        <v>0</v>
      </c>
      <c r="I239" s="497"/>
      <c r="J239" s="496"/>
    </row>
    <row r="240" spans="2:10" ht="20.25" customHeight="1" thickTop="1">
      <c r="B240" s="484"/>
      <c r="C240" s="484"/>
      <c r="D240" s="484"/>
      <c r="F240" s="484"/>
      <c r="G240" s="484"/>
      <c r="H240" s="482"/>
      <c r="I240" s="483"/>
      <c r="J240" s="483"/>
    </row>
    <row r="241" spans="2:9" ht="20.25" customHeight="1">
      <c r="B241" s="484" t="s">
        <v>267</v>
      </c>
      <c r="C241" s="484"/>
      <c r="D241" s="484"/>
      <c r="F241" s="484"/>
      <c r="G241" s="484"/>
      <c r="H241" s="482"/>
      <c r="I241" s="483"/>
    </row>
    <row r="243" spans="2:9" ht="20.25" customHeight="1">
      <c r="B243" s="725" t="s">
        <v>168</v>
      </c>
      <c r="C243" s="725"/>
      <c r="D243" s="725"/>
      <c r="E243" s="725"/>
      <c r="F243" s="725"/>
      <c r="G243" s="725"/>
      <c r="H243" s="725"/>
      <c r="I243" s="725"/>
    </row>
    <row r="244" spans="2:9" ht="20.25" customHeight="1">
      <c r="B244" s="725" t="s">
        <v>314</v>
      </c>
      <c r="C244" s="725"/>
      <c r="D244" s="725"/>
      <c r="E244" s="725"/>
      <c r="F244" s="725"/>
      <c r="G244" s="725"/>
      <c r="H244" s="725"/>
      <c r="I244" s="725"/>
    </row>
    <row r="245" spans="2:9" ht="20.25" customHeight="1">
      <c r="B245" s="725" t="s">
        <v>534</v>
      </c>
      <c r="C245" s="725"/>
      <c r="D245" s="725"/>
      <c r="E245" s="725"/>
      <c r="F245" s="725"/>
      <c r="G245" s="725"/>
      <c r="H245" s="725"/>
      <c r="I245" s="725"/>
    </row>
    <row r="246" spans="2:9" ht="20.25" customHeight="1" thickBot="1">
      <c r="B246" s="464"/>
      <c r="C246" s="462"/>
      <c r="D246" s="462"/>
      <c r="E246" s="465"/>
      <c r="F246" s="462"/>
      <c r="G246" s="462"/>
      <c r="H246" s="482"/>
      <c r="I246" s="483"/>
    </row>
    <row r="247" spans="2:9" ht="20.25" customHeight="1">
      <c r="B247" s="715" t="s">
        <v>266</v>
      </c>
      <c r="C247" s="718" t="s">
        <v>1</v>
      </c>
      <c r="D247" s="718" t="s">
        <v>77</v>
      </c>
      <c r="E247" s="722" t="s">
        <v>123</v>
      </c>
      <c r="F247" s="718" t="s">
        <v>315</v>
      </c>
      <c r="G247" s="718" t="s">
        <v>316</v>
      </c>
      <c r="H247" s="726" t="s">
        <v>317</v>
      </c>
      <c r="I247" s="718" t="s">
        <v>117</v>
      </c>
    </row>
    <row r="248" spans="2:9" ht="20.25" customHeight="1">
      <c r="B248" s="716"/>
      <c r="C248" s="719"/>
      <c r="D248" s="719"/>
      <c r="E248" s="723"/>
      <c r="F248" s="719"/>
      <c r="G248" s="719"/>
      <c r="H248" s="727"/>
      <c r="I248" s="719"/>
    </row>
    <row r="249" spans="2:9" ht="20.25" customHeight="1" thickBot="1">
      <c r="B249" s="717"/>
      <c r="C249" s="720"/>
      <c r="D249" s="721"/>
      <c r="E249" s="724"/>
      <c r="F249" s="721"/>
      <c r="G249" s="721"/>
      <c r="H249" s="728"/>
      <c r="I249" s="721"/>
    </row>
    <row r="250" spans="2:9" ht="20.25" customHeight="1">
      <c r="B250" s="487" t="s">
        <v>269</v>
      </c>
      <c r="C250" s="488" t="s">
        <v>18</v>
      </c>
      <c r="D250" s="473"/>
      <c r="E250" s="471"/>
      <c r="F250" s="472"/>
      <c r="G250" s="472"/>
      <c r="H250" s="489"/>
      <c r="I250" s="472"/>
    </row>
    <row r="251" spans="2:9" ht="20.25" customHeight="1">
      <c r="B251" s="487"/>
      <c r="C251" s="488" t="s">
        <v>19</v>
      </c>
      <c r="D251" s="473"/>
      <c r="E251" s="474"/>
      <c r="F251" s="472"/>
      <c r="G251" s="472"/>
      <c r="H251" s="489"/>
      <c r="I251" s="472"/>
    </row>
    <row r="252" spans="2:9" ht="20.25" customHeight="1">
      <c r="B252" s="487"/>
      <c r="C252" s="488" t="s">
        <v>20</v>
      </c>
      <c r="D252" s="473"/>
      <c r="E252" s="474"/>
      <c r="F252" s="472"/>
      <c r="G252" s="472"/>
      <c r="H252" s="489"/>
      <c r="I252" s="472"/>
    </row>
    <row r="253" spans="2:9" ht="20.25" customHeight="1">
      <c r="B253" s="487"/>
      <c r="C253" s="488" t="s">
        <v>21</v>
      </c>
      <c r="D253" s="473" t="s">
        <v>81</v>
      </c>
      <c r="E253" s="474">
        <v>650000</v>
      </c>
      <c r="F253" s="472">
        <v>461296.2</v>
      </c>
      <c r="G253" s="472"/>
      <c r="H253" s="489"/>
      <c r="I253" s="472">
        <f>SUM(F253:H253)</f>
        <v>461296.2</v>
      </c>
    </row>
    <row r="254" spans="2:9" ht="20.25" customHeight="1">
      <c r="B254" s="487" t="s">
        <v>270</v>
      </c>
      <c r="C254" s="488" t="s">
        <v>22</v>
      </c>
      <c r="D254" s="473"/>
      <c r="E254" s="474"/>
      <c r="F254" s="472"/>
      <c r="G254" s="472"/>
      <c r="H254" s="489"/>
      <c r="I254" s="472"/>
    </row>
    <row r="255" spans="2:9" ht="20.25" customHeight="1">
      <c r="B255" s="487"/>
      <c r="C255" s="488" t="s">
        <v>23</v>
      </c>
      <c r="D255" s="473"/>
      <c r="E255" s="474"/>
      <c r="F255" s="472"/>
      <c r="G255" s="472"/>
      <c r="H255" s="489"/>
      <c r="I255" s="472"/>
    </row>
    <row r="256" spans="2:9" ht="20.25" customHeight="1">
      <c r="B256" s="487" t="s">
        <v>271</v>
      </c>
      <c r="C256" s="488" t="s">
        <v>24</v>
      </c>
      <c r="D256" s="473"/>
      <c r="E256" s="474"/>
      <c r="F256" s="472"/>
      <c r="G256" s="472"/>
      <c r="H256" s="489"/>
      <c r="I256" s="472"/>
    </row>
    <row r="257" spans="2:9" ht="20.25" customHeight="1">
      <c r="B257" s="487" t="s">
        <v>272</v>
      </c>
      <c r="C257" s="488" t="s">
        <v>127</v>
      </c>
      <c r="D257" s="473"/>
      <c r="E257" s="474"/>
      <c r="F257" s="472"/>
      <c r="G257" s="472"/>
      <c r="H257" s="489"/>
      <c r="I257" s="472"/>
    </row>
    <row r="258" spans="2:9" ht="20.25" customHeight="1" thickBot="1">
      <c r="B258" s="490"/>
      <c r="C258" s="491"/>
      <c r="D258" s="477"/>
      <c r="E258" s="478"/>
      <c r="F258" s="479"/>
      <c r="G258" s="479"/>
      <c r="H258" s="492"/>
      <c r="I258" s="479"/>
    </row>
    <row r="259" spans="2:9" ht="20.25" customHeight="1" thickBot="1">
      <c r="B259" s="713" t="s">
        <v>117</v>
      </c>
      <c r="C259" s="714"/>
      <c r="D259" s="714"/>
      <c r="E259" s="480">
        <f>SUM(E250:E257)</f>
        <v>650000</v>
      </c>
      <c r="F259" s="481">
        <f>SUM(F250:F257)</f>
        <v>461296.2</v>
      </c>
      <c r="G259" s="481">
        <f>SUM(G250:G257)</f>
        <v>0</v>
      </c>
      <c r="H259" s="480">
        <f>SUM(H250:H257)</f>
        <v>0</v>
      </c>
      <c r="I259" s="481">
        <f>SUM(I250:I257)</f>
        <v>461296.2</v>
      </c>
    </row>
    <row r="260" spans="2:9" ht="20.25" customHeight="1" thickTop="1">
      <c r="B260" s="484"/>
      <c r="C260" s="484"/>
      <c r="D260" s="484"/>
      <c r="F260" s="484"/>
      <c r="G260" s="484"/>
      <c r="H260" s="482"/>
      <c r="I260" s="483"/>
    </row>
    <row r="261" spans="2:9" ht="20.25" customHeight="1">
      <c r="B261" s="484" t="s">
        <v>267</v>
      </c>
      <c r="C261" s="484"/>
      <c r="D261" s="484"/>
      <c r="F261" s="484"/>
      <c r="G261" s="484"/>
      <c r="H261" s="482"/>
      <c r="I261" s="483"/>
    </row>
  </sheetData>
  <sheetProtection/>
  <mergeCells count="146">
    <mergeCell ref="B67:I67"/>
    <mergeCell ref="B68:I68"/>
    <mergeCell ref="B69:I69"/>
    <mergeCell ref="B1:G1"/>
    <mergeCell ref="B2:G2"/>
    <mergeCell ref="B3:G3"/>
    <mergeCell ref="D5:D6"/>
    <mergeCell ref="B17:D17"/>
    <mergeCell ref="B27:B29"/>
    <mergeCell ref="C27:C29"/>
    <mergeCell ref="B129:D129"/>
    <mergeCell ref="B133:I133"/>
    <mergeCell ref="B134:I134"/>
    <mergeCell ref="B135:I135"/>
    <mergeCell ref="G93:G95"/>
    <mergeCell ref="H93:H95"/>
    <mergeCell ref="I93:I95"/>
    <mergeCell ref="E115:E117"/>
    <mergeCell ref="F115:F117"/>
    <mergeCell ref="G115:G117"/>
    <mergeCell ref="B171:D171"/>
    <mergeCell ref="B177:I177"/>
    <mergeCell ref="B178:I178"/>
    <mergeCell ref="B179:I179"/>
    <mergeCell ref="B181:B184"/>
    <mergeCell ref="C181:C184"/>
    <mergeCell ref="D181:D184"/>
    <mergeCell ref="E181:E184"/>
    <mergeCell ref="F181:F184"/>
    <mergeCell ref="B194:D194"/>
    <mergeCell ref="B199:I199"/>
    <mergeCell ref="B200:I200"/>
    <mergeCell ref="B201:I201"/>
    <mergeCell ref="B203:B206"/>
    <mergeCell ref="C203:C206"/>
    <mergeCell ref="D203:D206"/>
    <mergeCell ref="E203:E206"/>
    <mergeCell ref="F203:F206"/>
    <mergeCell ref="I203:I206"/>
    <mergeCell ref="D27:D29"/>
    <mergeCell ref="H225:H228"/>
    <mergeCell ref="G203:G206"/>
    <mergeCell ref="H203:H206"/>
    <mergeCell ref="G181:G184"/>
    <mergeCell ref="G137:G139"/>
    <mergeCell ref="H27:H29"/>
    <mergeCell ref="B215:D215"/>
    <mergeCell ref="B221:I221"/>
    <mergeCell ref="B222:I222"/>
    <mergeCell ref="I27:I29"/>
    <mergeCell ref="B23:I23"/>
    <mergeCell ref="B24:I24"/>
    <mergeCell ref="B25:I25"/>
    <mergeCell ref="B5:B6"/>
    <mergeCell ref="C5:C6"/>
    <mergeCell ref="E5:E6"/>
    <mergeCell ref="F5:F6"/>
    <mergeCell ref="G5:G6"/>
    <mergeCell ref="E27:E29"/>
    <mergeCell ref="B223:I223"/>
    <mergeCell ref="B225:B228"/>
    <mergeCell ref="C225:C228"/>
    <mergeCell ref="D225:D228"/>
    <mergeCell ref="E225:E228"/>
    <mergeCell ref="F225:F228"/>
    <mergeCell ref="G225:G228"/>
    <mergeCell ref="I225:I228"/>
    <mergeCell ref="F247:F249"/>
    <mergeCell ref="G247:G249"/>
    <mergeCell ref="H247:H249"/>
    <mergeCell ref="I247:I249"/>
    <mergeCell ref="B239:D239"/>
    <mergeCell ref="B243:I243"/>
    <mergeCell ref="B244:I244"/>
    <mergeCell ref="F159:F162"/>
    <mergeCell ref="G159:G162"/>
    <mergeCell ref="H159:H162"/>
    <mergeCell ref="I159:I162"/>
    <mergeCell ref="B259:D259"/>
    <mergeCell ref="B245:I245"/>
    <mergeCell ref="B247:B249"/>
    <mergeCell ref="C247:C249"/>
    <mergeCell ref="D247:D249"/>
    <mergeCell ref="E247:E249"/>
    <mergeCell ref="F137:F139"/>
    <mergeCell ref="H181:H184"/>
    <mergeCell ref="I181:I184"/>
    <mergeCell ref="B155:I155"/>
    <mergeCell ref="B156:I156"/>
    <mergeCell ref="B157:I157"/>
    <mergeCell ref="B159:B162"/>
    <mergeCell ref="C159:C162"/>
    <mergeCell ref="D159:D162"/>
    <mergeCell ref="E159:E162"/>
    <mergeCell ref="I137:I139"/>
    <mergeCell ref="G71:G73"/>
    <mergeCell ref="H71:H73"/>
    <mergeCell ref="I71:I73"/>
    <mergeCell ref="J137:J139"/>
    <mergeCell ref="B152:D152"/>
    <mergeCell ref="B137:B139"/>
    <mergeCell ref="C137:C139"/>
    <mergeCell ref="D137:D139"/>
    <mergeCell ref="E137:E139"/>
    <mergeCell ref="J181:J184"/>
    <mergeCell ref="B111:I111"/>
    <mergeCell ref="B112:I112"/>
    <mergeCell ref="B113:I113"/>
    <mergeCell ref="B115:B117"/>
    <mergeCell ref="C115:C117"/>
    <mergeCell ref="D115:D117"/>
    <mergeCell ref="H115:H117"/>
    <mergeCell ref="I115:I117"/>
    <mergeCell ref="H137:H139"/>
    <mergeCell ref="B91:I91"/>
    <mergeCell ref="B71:B73"/>
    <mergeCell ref="C71:C73"/>
    <mergeCell ref="D71:D73"/>
    <mergeCell ref="E71:E73"/>
    <mergeCell ref="F71:F73"/>
    <mergeCell ref="B106:D106"/>
    <mergeCell ref="B93:B95"/>
    <mergeCell ref="C93:C95"/>
    <mergeCell ref="D93:D95"/>
    <mergeCell ref="E93:E95"/>
    <mergeCell ref="F93:F95"/>
    <mergeCell ref="B45:I45"/>
    <mergeCell ref="B46:I46"/>
    <mergeCell ref="B47:I47"/>
    <mergeCell ref="H49:H51"/>
    <mergeCell ref="I49:I51"/>
    <mergeCell ref="J93:J95"/>
    <mergeCell ref="B85:D85"/>
    <mergeCell ref="J71:J73"/>
    <mergeCell ref="B89:I89"/>
    <mergeCell ref="B90:I90"/>
    <mergeCell ref="F27:F29"/>
    <mergeCell ref="G27:G29"/>
    <mergeCell ref="B61:D61"/>
    <mergeCell ref="B41:D41"/>
    <mergeCell ref="B49:B51"/>
    <mergeCell ref="C49:C51"/>
    <mergeCell ref="D49:D51"/>
    <mergeCell ref="E49:E51"/>
    <mergeCell ref="F49:F51"/>
    <mergeCell ref="G49:G51"/>
  </mergeCells>
  <printOptions/>
  <pageMargins left="0.4330708661417323" right="0.2755905511811024" top="0.7480314960629921" bottom="1.75" header="0.31496062992125984" footer="1.81"/>
  <pageSetup horizontalDpi="600" verticalDpi="600" orientation="landscape" paperSize="9" scale="95" r:id="rId1"/>
  <ignoredErrors>
    <ignoredError sqref="E14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R71"/>
  <sheetViews>
    <sheetView view="pageBreakPreview" zoomScale="70" zoomScaleNormal="70" zoomScaleSheetLayoutView="70" zoomScalePageLayoutView="0" workbookViewId="0" topLeftCell="A55">
      <selection activeCell="A29" sqref="A29:IV31"/>
    </sheetView>
  </sheetViews>
  <sheetFormatPr defaultColWidth="14.28125" defaultRowHeight="12.75"/>
  <cols>
    <col min="1" max="1" width="1.8515625" style="457" customWidth="1"/>
    <col min="2" max="2" width="12.421875" style="457" customWidth="1"/>
    <col min="3" max="3" width="19.7109375" style="457" customWidth="1"/>
    <col min="4" max="4" width="14.8515625" style="457" customWidth="1"/>
    <col min="5" max="16" width="13.57421875" style="564" customWidth="1"/>
    <col min="17" max="17" width="13.7109375" style="564" customWidth="1"/>
    <col min="18" max="16384" width="14.28125" style="457" customWidth="1"/>
  </cols>
  <sheetData>
    <row r="1" spans="2:18" ht="21">
      <c r="B1" s="745" t="s">
        <v>168</v>
      </c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454"/>
    </row>
    <row r="2" spans="2:18" ht="21">
      <c r="B2" s="745" t="s">
        <v>318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454"/>
    </row>
    <row r="3" spans="2:18" ht="21">
      <c r="B3" s="745" t="s">
        <v>534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454"/>
    </row>
    <row r="4" spans="2:18" ht="21" thickBot="1">
      <c r="B4" s="550"/>
      <c r="C4" s="549"/>
      <c r="D4" s="549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54"/>
    </row>
    <row r="5" spans="2:18" ht="19.5">
      <c r="B5" s="746" t="s">
        <v>266</v>
      </c>
      <c r="C5" s="749" t="s">
        <v>1</v>
      </c>
      <c r="D5" s="749" t="s">
        <v>77</v>
      </c>
      <c r="E5" s="733" t="s">
        <v>83</v>
      </c>
      <c r="F5" s="733" t="s">
        <v>319</v>
      </c>
      <c r="G5" s="733" t="s">
        <v>84</v>
      </c>
      <c r="H5" s="733" t="s">
        <v>320</v>
      </c>
      <c r="I5" s="733" t="s">
        <v>321</v>
      </c>
      <c r="J5" s="733" t="s">
        <v>82</v>
      </c>
      <c r="K5" s="733" t="s">
        <v>322</v>
      </c>
      <c r="L5" s="733" t="s">
        <v>323</v>
      </c>
      <c r="M5" s="733" t="s">
        <v>324</v>
      </c>
      <c r="N5" s="733" t="s">
        <v>325</v>
      </c>
      <c r="O5" s="733" t="s">
        <v>326</v>
      </c>
      <c r="P5" s="733" t="s">
        <v>17</v>
      </c>
      <c r="Q5" s="733" t="s">
        <v>117</v>
      </c>
      <c r="R5" s="455"/>
    </row>
    <row r="6" spans="2:18" ht="19.5">
      <c r="B6" s="747"/>
      <c r="C6" s="750"/>
      <c r="D6" s="750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455"/>
    </row>
    <row r="7" spans="2:18" ht="19.5">
      <c r="B7" s="747"/>
      <c r="C7" s="750"/>
      <c r="D7" s="750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455"/>
    </row>
    <row r="8" spans="2:18" ht="20.25" thickBot="1">
      <c r="B8" s="748"/>
      <c r="C8" s="751"/>
      <c r="D8" s="752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455"/>
    </row>
    <row r="9" spans="2:18" ht="21">
      <c r="B9" s="551" t="s">
        <v>268</v>
      </c>
      <c r="C9" s="552" t="s">
        <v>146</v>
      </c>
      <c r="D9" s="553" t="s">
        <v>81</v>
      </c>
      <c r="E9" s="554">
        <v>1783800</v>
      </c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5"/>
      <c r="Q9" s="555">
        <f>SUM(E9:P9)</f>
        <v>1783800</v>
      </c>
      <c r="R9" s="456"/>
    </row>
    <row r="10" spans="2:18" ht="21">
      <c r="B10" s="551"/>
      <c r="C10" s="552" t="s">
        <v>148</v>
      </c>
      <c r="D10" s="553" t="s">
        <v>81</v>
      </c>
      <c r="E10" s="554">
        <v>8364301</v>
      </c>
      <c r="F10" s="554"/>
      <c r="G10" s="554">
        <v>497940</v>
      </c>
      <c r="H10" s="554">
        <v>4224263</v>
      </c>
      <c r="I10" s="554"/>
      <c r="J10" s="554">
        <v>1913791</v>
      </c>
      <c r="K10" s="554"/>
      <c r="L10" s="554"/>
      <c r="M10" s="554"/>
      <c r="N10" s="554"/>
      <c r="O10" s="554"/>
      <c r="P10" s="555"/>
      <c r="Q10" s="555">
        <f>SUM(E10:P10)</f>
        <v>15000295</v>
      </c>
      <c r="R10" s="456"/>
    </row>
    <row r="11" spans="2:18" ht="21">
      <c r="B11" s="551"/>
      <c r="C11" s="552"/>
      <c r="D11" s="553" t="s">
        <v>463</v>
      </c>
      <c r="E11" s="554">
        <v>0</v>
      </c>
      <c r="F11" s="554"/>
      <c r="G11" s="554">
        <v>60401</v>
      </c>
      <c r="H11" s="554"/>
      <c r="I11" s="554"/>
      <c r="J11" s="554">
        <v>359190</v>
      </c>
      <c r="K11" s="554"/>
      <c r="L11" s="554"/>
      <c r="M11" s="554"/>
      <c r="N11" s="554"/>
      <c r="O11" s="554"/>
      <c r="P11" s="555"/>
      <c r="Q11" s="555">
        <f aca="true" t="shared" si="0" ref="Q11:Q22">SUM(E11:P11)</f>
        <v>419591</v>
      </c>
      <c r="R11" s="456"/>
    </row>
    <row r="12" spans="2:18" ht="21">
      <c r="B12" s="551" t="s">
        <v>269</v>
      </c>
      <c r="C12" s="552" t="s">
        <v>18</v>
      </c>
      <c r="D12" s="553" t="s">
        <v>81</v>
      </c>
      <c r="E12" s="554">
        <v>1436790</v>
      </c>
      <c r="F12" s="554"/>
      <c r="G12" s="554"/>
      <c r="H12" s="554">
        <v>557340</v>
      </c>
      <c r="I12" s="554"/>
      <c r="J12" s="554">
        <v>221260</v>
      </c>
      <c r="K12" s="554"/>
      <c r="L12" s="554"/>
      <c r="M12" s="554"/>
      <c r="N12" s="554"/>
      <c r="O12" s="554"/>
      <c r="P12" s="555"/>
      <c r="Q12" s="555">
        <f t="shared" si="0"/>
        <v>2215390</v>
      </c>
      <c r="R12" s="456"/>
    </row>
    <row r="13" spans="2:18" ht="21">
      <c r="B13" s="551"/>
      <c r="C13" s="552"/>
      <c r="D13" s="553" t="s">
        <v>463</v>
      </c>
      <c r="E13" s="554">
        <v>0</v>
      </c>
      <c r="F13" s="554"/>
      <c r="G13" s="554"/>
      <c r="H13" s="554"/>
      <c r="I13" s="554"/>
      <c r="J13" s="554">
        <v>50400</v>
      </c>
      <c r="K13" s="554"/>
      <c r="L13" s="554"/>
      <c r="M13" s="554"/>
      <c r="N13" s="554"/>
      <c r="O13" s="554"/>
      <c r="P13" s="555"/>
      <c r="Q13" s="555">
        <f t="shared" si="0"/>
        <v>50400</v>
      </c>
      <c r="R13" s="456"/>
    </row>
    <row r="14" spans="2:18" ht="21">
      <c r="B14" s="551"/>
      <c r="C14" s="552" t="s">
        <v>19</v>
      </c>
      <c r="D14" s="553" t="s">
        <v>81</v>
      </c>
      <c r="E14" s="556">
        <v>677846.05</v>
      </c>
      <c r="F14" s="556">
        <v>78308</v>
      </c>
      <c r="G14" s="556">
        <v>760638</v>
      </c>
      <c r="H14" s="556">
        <v>1011102.94</v>
      </c>
      <c r="I14" s="556"/>
      <c r="J14" s="556">
        <v>3189918.41</v>
      </c>
      <c r="K14" s="556">
        <v>517627</v>
      </c>
      <c r="L14" s="556">
        <v>130425</v>
      </c>
      <c r="M14" s="556"/>
      <c r="N14" s="556"/>
      <c r="O14" s="556"/>
      <c r="P14" s="555"/>
      <c r="Q14" s="555">
        <f t="shared" si="0"/>
        <v>6365865.4</v>
      </c>
      <c r="R14" s="456"/>
    </row>
    <row r="15" spans="2:18" ht="21">
      <c r="B15" s="551"/>
      <c r="C15" s="552" t="s">
        <v>20</v>
      </c>
      <c r="D15" s="553" t="s">
        <v>81</v>
      </c>
      <c r="E15" s="556">
        <v>764469.6</v>
      </c>
      <c r="F15" s="556">
        <v>146015</v>
      </c>
      <c r="G15" s="556">
        <v>3710963.84</v>
      </c>
      <c r="H15" s="556">
        <v>1201781.7</v>
      </c>
      <c r="I15" s="556"/>
      <c r="J15" s="556">
        <v>516591.33</v>
      </c>
      <c r="K15" s="556"/>
      <c r="L15" s="556"/>
      <c r="M15" s="556"/>
      <c r="N15" s="556"/>
      <c r="O15" s="556"/>
      <c r="P15" s="555"/>
      <c r="Q15" s="555">
        <f t="shared" si="0"/>
        <v>6339821.47</v>
      </c>
      <c r="R15" s="456"/>
    </row>
    <row r="16" spans="2:18" ht="21">
      <c r="B16" s="551"/>
      <c r="C16" s="552" t="s">
        <v>21</v>
      </c>
      <c r="D16" s="553" t="s">
        <v>81</v>
      </c>
      <c r="E16" s="556">
        <v>375072.87</v>
      </c>
      <c r="F16" s="556"/>
      <c r="G16" s="556"/>
      <c r="H16" s="556"/>
      <c r="I16" s="556"/>
      <c r="J16" s="556">
        <v>271552.63</v>
      </c>
      <c r="K16" s="556"/>
      <c r="L16" s="556"/>
      <c r="M16" s="556"/>
      <c r="N16" s="556"/>
      <c r="O16" s="556">
        <v>461296.2</v>
      </c>
      <c r="P16" s="555"/>
      <c r="Q16" s="555">
        <f t="shared" si="0"/>
        <v>1107921.7</v>
      </c>
      <c r="R16" s="456"/>
    </row>
    <row r="17" spans="2:18" ht="21">
      <c r="B17" s="551" t="s">
        <v>270</v>
      </c>
      <c r="C17" s="552" t="s">
        <v>22</v>
      </c>
      <c r="D17" s="553" t="s">
        <v>81</v>
      </c>
      <c r="E17" s="556">
        <v>1077112.88</v>
      </c>
      <c r="F17" s="556">
        <v>121254.9</v>
      </c>
      <c r="G17" s="556">
        <v>159109</v>
      </c>
      <c r="H17" s="556">
        <v>4093988</v>
      </c>
      <c r="I17" s="556"/>
      <c r="J17" s="556">
        <v>1519184.58</v>
      </c>
      <c r="K17" s="556"/>
      <c r="L17" s="556"/>
      <c r="M17" s="556"/>
      <c r="N17" s="556"/>
      <c r="O17" s="556"/>
      <c r="P17" s="555"/>
      <c r="Q17" s="555">
        <f t="shared" si="0"/>
        <v>6970649.359999999</v>
      </c>
      <c r="R17" s="456"/>
    </row>
    <row r="18" spans="2:18" ht="21">
      <c r="B18" s="551"/>
      <c r="C18" s="552" t="s">
        <v>23</v>
      </c>
      <c r="D18" s="553" t="s">
        <v>81</v>
      </c>
      <c r="E18" s="556">
        <v>0</v>
      </c>
      <c r="F18" s="556"/>
      <c r="G18" s="556">
        <v>356500</v>
      </c>
      <c r="H18" s="556"/>
      <c r="I18" s="556"/>
      <c r="J18" s="556"/>
      <c r="K18" s="556"/>
      <c r="L18" s="556"/>
      <c r="M18" s="556">
        <v>7607522.98</v>
      </c>
      <c r="N18" s="556"/>
      <c r="O18" s="556"/>
      <c r="P18" s="555"/>
      <c r="Q18" s="555">
        <f t="shared" si="0"/>
        <v>7964022.98</v>
      </c>
      <c r="R18" s="456"/>
    </row>
    <row r="19" spans="2:18" ht="21">
      <c r="B19" s="551" t="s">
        <v>271</v>
      </c>
      <c r="C19" s="552" t="s">
        <v>24</v>
      </c>
      <c r="D19" s="553" t="s">
        <v>81</v>
      </c>
      <c r="E19" s="556">
        <v>20000</v>
      </c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5"/>
      <c r="Q19" s="555">
        <f t="shared" si="0"/>
        <v>20000</v>
      </c>
      <c r="R19" s="456"/>
    </row>
    <row r="20" spans="2:18" ht="21">
      <c r="B20" s="551" t="s">
        <v>272</v>
      </c>
      <c r="C20" s="552" t="s">
        <v>127</v>
      </c>
      <c r="D20" s="553" t="s">
        <v>81</v>
      </c>
      <c r="E20" s="556">
        <v>0</v>
      </c>
      <c r="F20" s="556"/>
      <c r="G20" s="556">
        <v>7933800</v>
      </c>
      <c r="H20" s="556"/>
      <c r="I20" s="556"/>
      <c r="J20" s="556">
        <v>211223.86</v>
      </c>
      <c r="K20" s="556"/>
      <c r="L20" s="556">
        <v>100000</v>
      </c>
      <c r="M20" s="556"/>
      <c r="N20" s="556"/>
      <c r="O20" s="556"/>
      <c r="P20" s="555"/>
      <c r="Q20" s="555">
        <f t="shared" si="0"/>
        <v>8245023.86</v>
      </c>
      <c r="R20" s="456"/>
    </row>
    <row r="21" spans="2:18" ht="21">
      <c r="B21" s="551"/>
      <c r="C21" s="552" t="s">
        <v>17</v>
      </c>
      <c r="D21" s="553" t="s">
        <v>81</v>
      </c>
      <c r="E21" s="556">
        <v>0</v>
      </c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5">
        <v>8771651.91</v>
      </c>
      <c r="Q21" s="555">
        <f t="shared" si="0"/>
        <v>8771651.91</v>
      </c>
      <c r="R21" s="456"/>
    </row>
    <row r="22" spans="2:18" ht="21">
      <c r="B22" s="551"/>
      <c r="C22" s="552"/>
      <c r="D22" s="553" t="s">
        <v>463</v>
      </c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5">
        <v>17059.5</v>
      </c>
      <c r="Q22" s="555">
        <f t="shared" si="0"/>
        <v>17059.5</v>
      </c>
      <c r="R22" s="456"/>
    </row>
    <row r="23" spans="2:18" ht="21" thickBot="1">
      <c r="B23" s="551"/>
      <c r="C23" s="552"/>
      <c r="D23" s="553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5"/>
      <c r="Q23" s="555"/>
      <c r="R23" s="456"/>
    </row>
    <row r="24" spans="2:18" ht="21" thickBot="1">
      <c r="B24" s="743" t="s">
        <v>117</v>
      </c>
      <c r="C24" s="744"/>
      <c r="D24" s="744"/>
      <c r="E24" s="557">
        <f aca="true" t="shared" si="1" ref="E24:P24">SUM(E9:E23)</f>
        <v>14499392.399999999</v>
      </c>
      <c r="F24" s="557">
        <f t="shared" si="1"/>
        <v>345577.9</v>
      </c>
      <c r="G24" s="557">
        <f t="shared" si="1"/>
        <v>13479351.84</v>
      </c>
      <c r="H24" s="557">
        <f t="shared" si="1"/>
        <v>11088475.64</v>
      </c>
      <c r="I24" s="557">
        <f t="shared" si="1"/>
        <v>0</v>
      </c>
      <c r="J24" s="557">
        <f t="shared" si="1"/>
        <v>8253111.8100000005</v>
      </c>
      <c r="K24" s="557">
        <f t="shared" si="1"/>
        <v>517627</v>
      </c>
      <c r="L24" s="557">
        <f t="shared" si="1"/>
        <v>230425</v>
      </c>
      <c r="M24" s="557">
        <f t="shared" si="1"/>
        <v>7607522.98</v>
      </c>
      <c r="N24" s="557">
        <f t="shared" si="1"/>
        <v>0</v>
      </c>
      <c r="O24" s="557">
        <f t="shared" si="1"/>
        <v>461296.2</v>
      </c>
      <c r="P24" s="557">
        <f t="shared" si="1"/>
        <v>8788711.41</v>
      </c>
      <c r="Q24" s="557">
        <f>SUM(E24:P24)</f>
        <v>65271492.18000001</v>
      </c>
      <c r="R24" s="456"/>
    </row>
    <row r="25" spans="2:18" ht="21" thickTop="1">
      <c r="B25" s="558"/>
      <c r="C25" s="558"/>
      <c r="D25" s="558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54"/>
    </row>
    <row r="26" spans="2:18" ht="21">
      <c r="B26" s="558" t="s">
        <v>267</v>
      </c>
      <c r="C26" s="558"/>
      <c r="D26" s="558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54"/>
    </row>
    <row r="27" spans="2:18" ht="21">
      <c r="B27" s="558"/>
      <c r="C27" s="558"/>
      <c r="D27" s="558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54"/>
    </row>
    <row r="28" spans="2:18" ht="21">
      <c r="B28" s="558"/>
      <c r="C28" s="558"/>
      <c r="D28" s="558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54"/>
    </row>
    <row r="29" spans="2:18" s="607" customFormat="1" ht="21">
      <c r="B29" s="604"/>
      <c r="C29" s="604" t="s">
        <v>683</v>
      </c>
      <c r="D29" s="604"/>
      <c r="E29" s="605"/>
      <c r="G29" s="605" t="s">
        <v>686</v>
      </c>
      <c r="H29" s="605"/>
      <c r="I29" s="605"/>
      <c r="K29" s="605" t="s">
        <v>684</v>
      </c>
      <c r="L29" s="605"/>
      <c r="M29" s="605"/>
      <c r="O29" s="605" t="s">
        <v>685</v>
      </c>
      <c r="P29" s="605"/>
      <c r="Q29" s="605"/>
      <c r="R29" s="606"/>
    </row>
    <row r="30" spans="2:18" s="607" customFormat="1" ht="21">
      <c r="B30" s="604"/>
      <c r="C30" s="604" t="s">
        <v>361</v>
      </c>
      <c r="D30" s="604"/>
      <c r="E30" s="605"/>
      <c r="G30" s="605" t="s">
        <v>194</v>
      </c>
      <c r="H30" s="605"/>
      <c r="I30" s="605"/>
      <c r="K30" s="605" t="s">
        <v>263</v>
      </c>
      <c r="L30" s="605"/>
      <c r="M30" s="605"/>
      <c r="O30" s="605" t="s">
        <v>200</v>
      </c>
      <c r="P30" s="605"/>
      <c r="Q30" s="605"/>
      <c r="R30" s="606"/>
    </row>
    <row r="31" spans="2:18" s="607" customFormat="1" ht="21">
      <c r="B31" s="604"/>
      <c r="C31" s="604" t="s">
        <v>195</v>
      </c>
      <c r="D31" s="604"/>
      <c r="E31" s="605"/>
      <c r="G31" s="605" t="s">
        <v>197</v>
      </c>
      <c r="H31" s="605"/>
      <c r="I31" s="605"/>
      <c r="K31" s="605" t="s">
        <v>201</v>
      </c>
      <c r="L31" s="605"/>
      <c r="M31" s="605"/>
      <c r="O31" s="605" t="s">
        <v>202</v>
      </c>
      <c r="P31" s="605"/>
      <c r="Q31" s="605"/>
      <c r="R31" s="606"/>
    </row>
    <row r="32" spans="2:18" ht="21">
      <c r="B32" s="558"/>
      <c r="C32" s="558"/>
      <c r="D32" s="558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54"/>
    </row>
    <row r="33" spans="2:18" ht="21">
      <c r="B33" s="558"/>
      <c r="C33" s="558"/>
      <c r="D33" s="558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54"/>
    </row>
    <row r="34" spans="2:18" ht="21">
      <c r="B34" s="558"/>
      <c r="C34" s="558"/>
      <c r="D34" s="558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54"/>
    </row>
    <row r="35" spans="2:18" ht="21">
      <c r="B35" s="558"/>
      <c r="C35" s="558"/>
      <c r="D35" s="558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54"/>
    </row>
    <row r="36" spans="2:18" ht="21">
      <c r="B36" s="558"/>
      <c r="C36" s="558"/>
      <c r="D36" s="558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54"/>
    </row>
    <row r="37" spans="2:18" ht="21">
      <c r="B37" s="558"/>
      <c r="C37" s="558"/>
      <c r="D37" s="558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54"/>
    </row>
    <row r="38" spans="2:18" ht="21">
      <c r="B38" s="558"/>
      <c r="C38" s="558"/>
      <c r="D38" s="558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54"/>
    </row>
    <row r="39" spans="2:18" ht="21">
      <c r="B39" s="558"/>
      <c r="C39" s="558"/>
      <c r="D39" s="558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54"/>
    </row>
    <row r="40" ht="25.5" customHeight="1"/>
    <row r="41" ht="25.5" customHeight="1"/>
    <row r="42" spans="2:18" ht="21">
      <c r="B42" s="745" t="s">
        <v>168</v>
      </c>
      <c r="C42" s="745"/>
      <c r="D42" s="745"/>
      <c r="E42" s="745"/>
      <c r="F42" s="745"/>
      <c r="G42" s="745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454"/>
    </row>
    <row r="43" spans="2:18" ht="21">
      <c r="B43" s="745" t="s">
        <v>327</v>
      </c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454"/>
    </row>
    <row r="44" spans="2:18" ht="21">
      <c r="B44" s="745" t="s">
        <v>534</v>
      </c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454"/>
    </row>
    <row r="45" spans="2:18" ht="21" thickBot="1">
      <c r="B45" s="550"/>
      <c r="C45" s="549"/>
      <c r="D45" s="549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54"/>
    </row>
    <row r="46" spans="2:18" ht="19.5">
      <c r="B46" s="746" t="s">
        <v>266</v>
      </c>
      <c r="C46" s="749" t="s">
        <v>1</v>
      </c>
      <c r="D46" s="749" t="s">
        <v>77</v>
      </c>
      <c r="E46" s="733" t="s">
        <v>83</v>
      </c>
      <c r="F46" s="733" t="s">
        <v>319</v>
      </c>
      <c r="G46" s="733" t="s">
        <v>84</v>
      </c>
      <c r="H46" s="733" t="s">
        <v>320</v>
      </c>
      <c r="I46" s="733" t="s">
        <v>321</v>
      </c>
      <c r="J46" s="733" t="s">
        <v>82</v>
      </c>
      <c r="K46" s="733" t="s">
        <v>322</v>
      </c>
      <c r="L46" s="733" t="s">
        <v>323</v>
      </c>
      <c r="M46" s="733" t="s">
        <v>324</v>
      </c>
      <c r="N46" s="733" t="s">
        <v>325</v>
      </c>
      <c r="O46" s="733" t="s">
        <v>326</v>
      </c>
      <c r="P46" s="733" t="s">
        <v>17</v>
      </c>
      <c r="Q46" s="733" t="s">
        <v>117</v>
      </c>
      <c r="R46" s="455"/>
    </row>
    <row r="47" spans="2:18" ht="19.5">
      <c r="B47" s="747"/>
      <c r="C47" s="750"/>
      <c r="D47" s="750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455"/>
    </row>
    <row r="48" spans="2:18" ht="19.5">
      <c r="B48" s="747"/>
      <c r="C48" s="750"/>
      <c r="D48" s="750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455"/>
    </row>
    <row r="49" spans="2:18" ht="20.25" thickBot="1">
      <c r="B49" s="748"/>
      <c r="C49" s="751"/>
      <c r="D49" s="752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35"/>
      <c r="R49" s="455"/>
    </row>
    <row r="50" spans="2:18" ht="21">
      <c r="B50" s="559" t="s">
        <v>129</v>
      </c>
      <c r="C50" s="560"/>
      <c r="D50" s="561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455"/>
    </row>
    <row r="51" spans="2:18" ht="21">
      <c r="B51" s="551" t="s">
        <v>268</v>
      </c>
      <c r="C51" s="552" t="s">
        <v>146</v>
      </c>
      <c r="D51" s="553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5"/>
      <c r="Q51" s="555"/>
      <c r="R51" s="456"/>
    </row>
    <row r="52" spans="2:18" ht="21">
      <c r="B52" s="551"/>
      <c r="C52" s="552" t="s">
        <v>148</v>
      </c>
      <c r="D52" s="553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5"/>
      <c r="Q52" s="555"/>
      <c r="R52" s="456"/>
    </row>
    <row r="53" spans="2:18" ht="21">
      <c r="B53" s="551" t="s">
        <v>269</v>
      </c>
      <c r="C53" s="552" t="s">
        <v>18</v>
      </c>
      <c r="D53" s="553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5"/>
      <c r="Q53" s="555"/>
      <c r="R53" s="456"/>
    </row>
    <row r="54" spans="2:18" ht="21">
      <c r="B54" s="551"/>
      <c r="C54" s="552" t="s">
        <v>19</v>
      </c>
      <c r="D54" s="553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5"/>
      <c r="Q54" s="555"/>
      <c r="R54" s="456"/>
    </row>
    <row r="55" spans="2:18" ht="21">
      <c r="B55" s="551"/>
      <c r="C55" s="552" t="s">
        <v>20</v>
      </c>
      <c r="D55" s="553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5"/>
      <c r="Q55" s="555"/>
      <c r="R55" s="456"/>
    </row>
    <row r="56" spans="2:18" ht="21">
      <c r="B56" s="551"/>
      <c r="C56" s="552" t="s">
        <v>21</v>
      </c>
      <c r="D56" s="553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5"/>
      <c r="Q56" s="555"/>
      <c r="R56" s="456"/>
    </row>
    <row r="57" spans="2:18" ht="21">
      <c r="B57" s="551" t="s">
        <v>270</v>
      </c>
      <c r="C57" s="552" t="s">
        <v>22</v>
      </c>
      <c r="D57" s="553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5"/>
      <c r="Q57" s="555"/>
      <c r="R57" s="456"/>
    </row>
    <row r="58" spans="2:18" ht="21">
      <c r="B58" s="551"/>
      <c r="C58" s="552" t="s">
        <v>23</v>
      </c>
      <c r="D58" s="553" t="s">
        <v>118</v>
      </c>
      <c r="E58" s="556"/>
      <c r="F58" s="556"/>
      <c r="G58" s="556"/>
      <c r="H58" s="556"/>
      <c r="I58" s="556"/>
      <c r="J58" s="556"/>
      <c r="K58" s="556"/>
      <c r="L58" s="556"/>
      <c r="M58" s="556">
        <v>2376000</v>
      </c>
      <c r="N58" s="556"/>
      <c r="O58" s="556"/>
      <c r="P58" s="555"/>
      <c r="Q58" s="555">
        <f>SUM(M58:P58)</f>
        <v>2376000</v>
      </c>
      <c r="R58" s="456"/>
    </row>
    <row r="59" spans="2:18" ht="21">
      <c r="B59" s="551" t="s">
        <v>271</v>
      </c>
      <c r="C59" s="552" t="s">
        <v>24</v>
      </c>
      <c r="D59" s="553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5"/>
      <c r="Q59" s="555"/>
      <c r="R59" s="456"/>
    </row>
    <row r="60" spans="2:18" ht="21">
      <c r="B60" s="551" t="s">
        <v>272</v>
      </c>
      <c r="C60" s="552" t="s">
        <v>127</v>
      </c>
      <c r="D60" s="553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5"/>
      <c r="Q60" s="555"/>
      <c r="R60" s="456"/>
    </row>
    <row r="61" spans="2:18" ht="21">
      <c r="B61" s="551"/>
      <c r="C61" s="552"/>
      <c r="D61" s="553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5"/>
      <c r="Q61" s="555"/>
      <c r="R61" s="456"/>
    </row>
    <row r="62" spans="2:18" ht="21">
      <c r="B62" s="551"/>
      <c r="C62" s="552"/>
      <c r="D62" s="553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5"/>
      <c r="Q62" s="555"/>
      <c r="R62" s="456"/>
    </row>
    <row r="63" spans="2:18" ht="21">
      <c r="B63" s="551"/>
      <c r="C63" s="552"/>
      <c r="D63" s="553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5"/>
      <c r="Q63" s="555"/>
      <c r="R63" s="456"/>
    </row>
    <row r="64" spans="2:18" ht="21" thickBot="1">
      <c r="B64" s="551"/>
      <c r="C64" s="552"/>
      <c r="D64" s="553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5"/>
      <c r="Q64" s="555"/>
      <c r="R64" s="456"/>
    </row>
    <row r="65" spans="2:18" ht="21" thickBot="1">
      <c r="B65" s="743" t="s">
        <v>117</v>
      </c>
      <c r="C65" s="744"/>
      <c r="D65" s="744"/>
      <c r="E65" s="557">
        <v>0</v>
      </c>
      <c r="F65" s="557"/>
      <c r="G65" s="557"/>
      <c r="H65" s="557"/>
      <c r="I65" s="557"/>
      <c r="J65" s="557"/>
      <c r="K65" s="557"/>
      <c r="L65" s="557"/>
      <c r="M65" s="557">
        <f>SUM(M58:M64)</f>
        <v>2376000</v>
      </c>
      <c r="N65" s="557"/>
      <c r="O65" s="557"/>
      <c r="P65" s="563">
        <v>0</v>
      </c>
      <c r="Q65" s="563">
        <f>SUM(Q58:Q63)</f>
        <v>2376000</v>
      </c>
      <c r="R65" s="456"/>
    </row>
    <row r="66" spans="2:18" ht="21" thickTop="1">
      <c r="B66" s="558"/>
      <c r="C66" s="558"/>
      <c r="D66" s="558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54"/>
    </row>
    <row r="67" spans="2:18" ht="21">
      <c r="B67" s="558"/>
      <c r="C67" s="558"/>
      <c r="D67" s="558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54"/>
    </row>
    <row r="68" spans="2:18" ht="21">
      <c r="B68" s="558"/>
      <c r="C68" s="558"/>
      <c r="D68" s="558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54"/>
    </row>
    <row r="69" spans="2:18" s="607" customFormat="1" ht="21">
      <c r="B69" s="604"/>
      <c r="C69" s="604" t="s">
        <v>683</v>
      </c>
      <c r="D69" s="604"/>
      <c r="E69" s="605"/>
      <c r="G69" s="605" t="s">
        <v>686</v>
      </c>
      <c r="H69" s="605"/>
      <c r="I69" s="605"/>
      <c r="K69" s="605" t="s">
        <v>684</v>
      </c>
      <c r="L69" s="605"/>
      <c r="M69" s="605"/>
      <c r="O69" s="605" t="s">
        <v>685</v>
      </c>
      <c r="P69" s="605"/>
      <c r="Q69" s="605"/>
      <c r="R69" s="606"/>
    </row>
    <row r="70" spans="2:18" s="607" customFormat="1" ht="21">
      <c r="B70" s="604"/>
      <c r="C70" s="604" t="s">
        <v>361</v>
      </c>
      <c r="D70" s="604"/>
      <c r="E70" s="605"/>
      <c r="G70" s="605" t="s">
        <v>194</v>
      </c>
      <c r="H70" s="605"/>
      <c r="I70" s="605"/>
      <c r="K70" s="605" t="s">
        <v>263</v>
      </c>
      <c r="L70" s="605"/>
      <c r="M70" s="605"/>
      <c r="O70" s="605" t="s">
        <v>200</v>
      </c>
      <c r="P70" s="605"/>
      <c r="Q70" s="605"/>
      <c r="R70" s="606"/>
    </row>
    <row r="71" spans="2:18" s="607" customFormat="1" ht="21">
      <c r="B71" s="604"/>
      <c r="C71" s="604" t="s">
        <v>195</v>
      </c>
      <c r="D71" s="604"/>
      <c r="E71" s="605"/>
      <c r="G71" s="605" t="s">
        <v>197</v>
      </c>
      <c r="H71" s="605"/>
      <c r="I71" s="605"/>
      <c r="K71" s="605" t="s">
        <v>201</v>
      </c>
      <c r="L71" s="605"/>
      <c r="M71" s="605"/>
      <c r="O71" s="605" t="s">
        <v>202</v>
      </c>
      <c r="P71" s="605"/>
      <c r="Q71" s="605"/>
      <c r="R71" s="606"/>
    </row>
  </sheetData>
  <sheetProtection/>
  <mergeCells count="40">
    <mergeCell ref="F5:F8"/>
    <mergeCell ref="B5:B8"/>
    <mergeCell ref="C5:C8"/>
    <mergeCell ref="B24:D24"/>
    <mergeCell ref="D5:D8"/>
    <mergeCell ref="E5:E8"/>
    <mergeCell ref="O5:O8"/>
    <mergeCell ref="K5:K8"/>
    <mergeCell ref="G5:G8"/>
    <mergeCell ref="H5:H8"/>
    <mergeCell ref="Q5:Q8"/>
    <mergeCell ref="I5:I8"/>
    <mergeCell ref="J5:J8"/>
    <mergeCell ref="P5:P8"/>
    <mergeCell ref="O46:O49"/>
    <mergeCell ref="P46:P49"/>
    <mergeCell ref="B1:Q1"/>
    <mergeCell ref="B2:Q2"/>
    <mergeCell ref="B3:Q3"/>
    <mergeCell ref="B42:Q42"/>
    <mergeCell ref="B43:Q43"/>
    <mergeCell ref="L5:L8"/>
    <mergeCell ref="M5:M8"/>
    <mergeCell ref="N5:N8"/>
    <mergeCell ref="I46:I49"/>
    <mergeCell ref="J46:J49"/>
    <mergeCell ref="K46:K49"/>
    <mergeCell ref="L46:L49"/>
    <mergeCell ref="M46:M49"/>
    <mergeCell ref="N46:N49"/>
    <mergeCell ref="Q46:Q49"/>
    <mergeCell ref="B65:D65"/>
    <mergeCell ref="B44:Q44"/>
    <mergeCell ref="B46:B49"/>
    <mergeCell ref="C46:C49"/>
    <mergeCell ref="D46:D49"/>
    <mergeCell ref="E46:E49"/>
    <mergeCell ref="F46:F49"/>
    <mergeCell ref="G46:G49"/>
    <mergeCell ref="H46:H49"/>
  </mergeCells>
  <printOptions/>
  <pageMargins left="0.34" right="0.2755905511811024" top="0.5511811023622047" bottom="0.3937007874015748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7">
      <selection activeCell="A11" sqref="A11"/>
    </sheetView>
  </sheetViews>
  <sheetFormatPr defaultColWidth="9.140625" defaultRowHeight="21.75" customHeight="1"/>
  <cols>
    <col min="1" max="1" width="28.57421875" style="1" customWidth="1"/>
    <col min="2" max="2" width="19.57421875" style="264" customWidth="1"/>
    <col min="3" max="3" width="9.140625" style="1" customWidth="1"/>
    <col min="4" max="5" width="16.28125" style="1" customWidth="1"/>
    <col min="6" max="6" width="15.140625" style="1" customWidth="1"/>
    <col min="7" max="16384" width="9.140625" style="1" customWidth="1"/>
  </cols>
  <sheetData>
    <row r="1" spans="1:5" ht="21.75" customHeight="1">
      <c r="A1" s="626" t="s">
        <v>165</v>
      </c>
      <c r="B1" s="626"/>
      <c r="C1" s="626"/>
      <c r="D1" s="626"/>
      <c r="E1" s="626"/>
    </row>
    <row r="2" spans="1:5" ht="21.75" customHeight="1">
      <c r="A2" s="626" t="s">
        <v>362</v>
      </c>
      <c r="B2" s="626"/>
      <c r="C2" s="626"/>
      <c r="D2" s="626"/>
      <c r="E2" s="626"/>
    </row>
    <row r="3" spans="1:5" ht="21.75" customHeight="1">
      <c r="A3" s="627" t="s">
        <v>363</v>
      </c>
      <c r="B3" s="627"/>
      <c r="C3" s="627"/>
      <c r="D3" s="627"/>
      <c r="E3" s="627"/>
    </row>
    <row r="4" spans="1:5" ht="21.75" customHeight="1">
      <c r="A4" s="622" t="s">
        <v>13</v>
      </c>
      <c r="B4" s="623"/>
      <c r="C4" s="237" t="s">
        <v>122</v>
      </c>
      <c r="D4" s="238" t="s">
        <v>364</v>
      </c>
      <c r="E4" s="239" t="s">
        <v>15</v>
      </c>
    </row>
    <row r="5" spans="1:5" ht="21.75" customHeight="1">
      <c r="A5" s="240" t="s">
        <v>543</v>
      </c>
      <c r="B5" s="241"/>
      <c r="C5" s="242" t="s">
        <v>365</v>
      </c>
      <c r="D5" s="243">
        <v>9267567.75</v>
      </c>
      <c r="E5" s="244"/>
    </row>
    <row r="6" spans="1:5" ht="21.75" customHeight="1">
      <c r="A6" s="245" t="s">
        <v>544</v>
      </c>
      <c r="B6" s="246"/>
      <c r="C6" s="247" t="s">
        <v>365</v>
      </c>
      <c r="D6" s="248">
        <v>221450.65</v>
      </c>
      <c r="E6" s="249"/>
    </row>
    <row r="7" spans="1:5" ht="21.75" customHeight="1">
      <c r="A7" s="245" t="s">
        <v>542</v>
      </c>
      <c r="B7" s="246"/>
      <c r="C7" s="247" t="s">
        <v>366</v>
      </c>
      <c r="D7" s="248">
        <v>65369097.29</v>
      </c>
      <c r="E7" s="249"/>
    </row>
    <row r="8" spans="1:5" ht="21.75" customHeight="1">
      <c r="A8" s="245" t="s">
        <v>367</v>
      </c>
      <c r="B8" s="246"/>
      <c r="C8" s="247" t="s">
        <v>368</v>
      </c>
      <c r="D8" s="248">
        <v>429111.25</v>
      </c>
      <c r="E8" s="249"/>
    </row>
    <row r="9" spans="1:5" ht="21.75" customHeight="1">
      <c r="A9" s="245" t="s">
        <v>369</v>
      </c>
      <c r="B9" s="246"/>
      <c r="C9" s="247" t="s">
        <v>370</v>
      </c>
      <c r="D9" s="248">
        <v>103120</v>
      </c>
      <c r="E9" s="249"/>
    </row>
    <row r="10" spans="1:5" ht="21.75" customHeight="1">
      <c r="A10" s="245" t="s">
        <v>371</v>
      </c>
      <c r="B10" s="246"/>
      <c r="C10" s="247" t="s">
        <v>372</v>
      </c>
      <c r="D10" s="248">
        <v>14060.22</v>
      </c>
      <c r="E10" s="249"/>
    </row>
    <row r="11" spans="1:5" ht="21.75" customHeight="1">
      <c r="A11" s="245" t="s">
        <v>549</v>
      </c>
      <c r="B11" s="246"/>
      <c r="C11" s="247" t="s">
        <v>373</v>
      </c>
      <c r="D11" s="248"/>
      <c r="E11" s="249">
        <v>13204828.52</v>
      </c>
    </row>
    <row r="12" spans="1:6" ht="21.75" customHeight="1">
      <c r="A12" s="250" t="s">
        <v>550</v>
      </c>
      <c r="B12" s="246"/>
      <c r="C12" s="251">
        <v>21040000</v>
      </c>
      <c r="D12" s="252"/>
      <c r="E12" s="253">
        <v>2146950.84</v>
      </c>
      <c r="F12" s="9"/>
    </row>
    <row r="13" spans="1:5" ht="21.75" customHeight="1">
      <c r="A13" s="245" t="s">
        <v>118</v>
      </c>
      <c r="B13" s="246"/>
      <c r="C13" s="247" t="s">
        <v>374</v>
      </c>
      <c r="D13" s="248"/>
      <c r="E13" s="249">
        <v>33515676.14</v>
      </c>
    </row>
    <row r="14" spans="1:5" ht="21.75" customHeight="1">
      <c r="A14" s="254" t="s">
        <v>139</v>
      </c>
      <c r="B14" s="255"/>
      <c r="C14" s="256" t="s">
        <v>375</v>
      </c>
      <c r="D14" s="257"/>
      <c r="E14" s="258">
        <v>26536951.66</v>
      </c>
    </row>
    <row r="15" spans="1:5" ht="21.75" customHeight="1">
      <c r="A15" s="259"/>
      <c r="B15" s="260"/>
      <c r="C15" s="261" t="s">
        <v>117</v>
      </c>
      <c r="D15" s="262">
        <f>SUM(D4:D14)</f>
        <v>75404407.16</v>
      </c>
      <c r="E15" s="263">
        <f>SUM(E4:E14)</f>
        <v>75404407.16</v>
      </c>
    </row>
    <row r="16" spans="1:5" ht="21.75" customHeight="1">
      <c r="A16" s="12"/>
      <c r="C16" s="265"/>
      <c r="D16" s="266"/>
      <c r="E16" s="10"/>
    </row>
    <row r="17" spans="1:5" s="236" customFormat="1" ht="21.75" customHeight="1">
      <c r="A17" s="232" t="s">
        <v>190</v>
      </c>
      <c r="B17" s="624"/>
      <c r="C17" s="624"/>
      <c r="D17" s="621" t="s">
        <v>191</v>
      </c>
      <c r="E17" s="621"/>
    </row>
    <row r="18" spans="1:5" s="215" customFormat="1" ht="28.5" customHeight="1">
      <c r="A18" s="235"/>
      <c r="B18" s="267"/>
      <c r="D18" s="127"/>
      <c r="E18" s="127"/>
    </row>
    <row r="19" spans="1:5" s="215" customFormat="1" ht="21.75" customHeight="1">
      <c r="A19" s="235" t="s">
        <v>192</v>
      </c>
      <c r="B19" s="625"/>
      <c r="C19" s="625"/>
      <c r="D19" s="620" t="s">
        <v>194</v>
      </c>
      <c r="E19" s="620"/>
    </row>
    <row r="20" spans="1:5" s="215" customFormat="1" ht="21.75" customHeight="1">
      <c r="A20" s="235" t="s">
        <v>195</v>
      </c>
      <c r="B20" s="625"/>
      <c r="C20" s="625"/>
      <c r="D20" s="620" t="s">
        <v>197</v>
      </c>
      <c r="E20" s="620"/>
    </row>
    <row r="22" spans="1:5" s="5" customFormat="1" ht="21.75" customHeight="1">
      <c r="A22" s="128" t="s">
        <v>198</v>
      </c>
      <c r="B22" s="268"/>
      <c r="D22" s="621" t="s">
        <v>198</v>
      </c>
      <c r="E22" s="621"/>
    </row>
    <row r="23" spans="1:5" ht="32.25" customHeight="1">
      <c r="A23" s="126"/>
      <c r="B23" s="269"/>
      <c r="D23" s="127"/>
      <c r="E23" s="127"/>
    </row>
    <row r="24" spans="1:5" ht="21.75" customHeight="1">
      <c r="A24" s="126" t="s">
        <v>263</v>
      </c>
      <c r="B24" s="269"/>
      <c r="D24" s="620" t="s">
        <v>376</v>
      </c>
      <c r="E24" s="620"/>
    </row>
    <row r="25" spans="1:5" ht="21.75" customHeight="1">
      <c r="A25" s="126" t="s">
        <v>201</v>
      </c>
      <c r="B25" s="269"/>
      <c r="D25" s="620" t="s">
        <v>202</v>
      </c>
      <c r="E25" s="620"/>
    </row>
  </sheetData>
  <sheetProtection/>
  <mergeCells count="13">
    <mergeCell ref="A1:E1"/>
    <mergeCell ref="A2:E2"/>
    <mergeCell ref="A3:E3"/>
    <mergeCell ref="D22:E22"/>
    <mergeCell ref="D24:E24"/>
    <mergeCell ref="D25:E25"/>
    <mergeCell ref="A4:B4"/>
    <mergeCell ref="B17:C17"/>
    <mergeCell ref="D17:E17"/>
    <mergeCell ref="B19:C19"/>
    <mergeCell ref="D19:E19"/>
    <mergeCell ref="B20:C20"/>
    <mergeCell ref="D20:E20"/>
  </mergeCells>
  <printOptions/>
  <pageMargins left="0.76" right="0.16" top="0.54" bottom="0.26" header="0.16" footer="0.1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view="pageBreakPreview" zoomScale="70" zoomScaleNormal="70" zoomScaleSheetLayoutView="70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2" sqref="H32"/>
    </sheetView>
  </sheetViews>
  <sheetFormatPr defaultColWidth="9.140625" defaultRowHeight="12.75"/>
  <cols>
    <col min="1" max="1" width="14.140625" style="177" customWidth="1"/>
    <col min="2" max="2" width="6.28125" style="177" customWidth="1"/>
    <col min="3" max="3" width="14.421875" style="177" customWidth="1"/>
    <col min="4" max="4" width="14.28125" style="207" customWidth="1"/>
    <col min="5" max="5" width="13.28125" style="207" customWidth="1"/>
    <col min="6" max="6" width="15.140625" style="177" customWidth="1"/>
    <col min="7" max="7" width="13.57421875" style="177" customWidth="1"/>
    <col min="8" max="8" width="14.421875" style="177" customWidth="1"/>
    <col min="9" max="9" width="15.28125" style="177" customWidth="1"/>
    <col min="10" max="10" width="16.421875" style="177" customWidth="1"/>
    <col min="11" max="11" width="13.140625" style="177" customWidth="1"/>
    <col min="12" max="13" width="13.28125" style="177" customWidth="1"/>
    <col min="14" max="14" width="12.7109375" style="177" customWidth="1"/>
    <col min="15" max="15" width="12.57421875" style="177" customWidth="1"/>
    <col min="16" max="16" width="13.7109375" style="177" customWidth="1"/>
    <col min="17" max="16384" width="9.140625" style="177" customWidth="1"/>
  </cols>
  <sheetData>
    <row r="1" spans="1:15" ht="26.25" customHeight="1">
      <c r="A1" s="768" t="s">
        <v>164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</row>
    <row r="2" spans="1:15" ht="26.25" customHeight="1">
      <c r="A2" s="768" t="s">
        <v>328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</row>
    <row r="3" spans="1:15" ht="26.25" customHeight="1">
      <c r="A3" s="769" t="s">
        <v>535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</row>
    <row r="4" spans="1:16" s="181" customFormat="1" ht="77.25" customHeight="1">
      <c r="A4" s="770" t="s">
        <v>13</v>
      </c>
      <c r="B4" s="771"/>
      <c r="C4" s="178" t="s">
        <v>123</v>
      </c>
      <c r="D4" s="178" t="s">
        <v>329</v>
      </c>
      <c r="E4" s="179" t="s">
        <v>537</v>
      </c>
      <c r="F4" s="179" t="s">
        <v>442</v>
      </c>
      <c r="G4" s="179" t="s">
        <v>536</v>
      </c>
      <c r="H4" s="179" t="s">
        <v>439</v>
      </c>
      <c r="I4" s="179" t="s">
        <v>444</v>
      </c>
      <c r="J4" s="179" t="s">
        <v>448</v>
      </c>
      <c r="K4" s="179" t="s">
        <v>538</v>
      </c>
      <c r="L4" s="179" t="s">
        <v>539</v>
      </c>
      <c r="M4" s="179" t="s">
        <v>457</v>
      </c>
      <c r="N4" s="179" t="s">
        <v>540</v>
      </c>
      <c r="O4" s="567" t="s">
        <v>468</v>
      </c>
      <c r="P4" s="180"/>
    </row>
    <row r="5" spans="1:16" ht="24" customHeight="1">
      <c r="A5" s="772" t="s">
        <v>129</v>
      </c>
      <c r="B5" s="773"/>
      <c r="C5" s="182"/>
      <c r="D5" s="183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24" customHeight="1">
      <c r="A6" s="753" t="s">
        <v>17</v>
      </c>
      <c r="B6" s="754"/>
      <c r="C6" s="186">
        <v>10576792</v>
      </c>
      <c r="D6" s="187">
        <f>SUM(E6:O6)-17059.5</f>
        <v>8782311.41</v>
      </c>
      <c r="E6" s="187">
        <v>17059.5</v>
      </c>
      <c r="F6" s="188"/>
      <c r="G6" s="188"/>
      <c r="H6" s="188"/>
      <c r="I6" s="189"/>
      <c r="J6" s="190"/>
      <c r="K6" s="190"/>
      <c r="L6" s="190"/>
      <c r="M6" s="190"/>
      <c r="N6" s="190"/>
      <c r="O6" s="189">
        <f>8788711.41-6400</f>
        <v>8782311.41</v>
      </c>
      <c r="P6" s="185"/>
    </row>
    <row r="7" spans="1:16" ht="24" customHeight="1">
      <c r="A7" s="753" t="s">
        <v>248</v>
      </c>
      <c r="B7" s="754"/>
      <c r="C7" s="186">
        <v>1783880</v>
      </c>
      <c r="D7" s="187">
        <f aca="true" t="shared" si="0" ref="D7:D16">SUM(E7:O7)</f>
        <v>1783800</v>
      </c>
      <c r="E7" s="458"/>
      <c r="F7" s="190">
        <v>1783800</v>
      </c>
      <c r="G7" s="190"/>
      <c r="H7" s="190"/>
      <c r="I7" s="190"/>
      <c r="J7" s="190"/>
      <c r="K7" s="190"/>
      <c r="L7" s="190"/>
      <c r="M7" s="190"/>
      <c r="N7" s="190"/>
      <c r="O7" s="189"/>
      <c r="P7" s="185"/>
    </row>
    <row r="8" spans="1:16" ht="24" customHeight="1">
      <c r="A8" s="753" t="s">
        <v>249</v>
      </c>
      <c r="B8" s="754"/>
      <c r="C8" s="186">
        <v>19282652</v>
      </c>
      <c r="D8" s="187">
        <f>SUM(E8:O8)-419591</f>
        <v>15419886</v>
      </c>
      <c r="E8" s="458">
        <v>419591</v>
      </c>
      <c r="F8" s="190">
        <v>8364301</v>
      </c>
      <c r="G8" s="190"/>
      <c r="H8" s="190">
        <v>558341</v>
      </c>
      <c r="I8" s="190">
        <v>4224263</v>
      </c>
      <c r="J8" s="190">
        <v>2272981</v>
      </c>
      <c r="K8" s="190"/>
      <c r="L8" s="190"/>
      <c r="M8" s="190"/>
      <c r="N8" s="190"/>
      <c r="O8" s="189"/>
      <c r="P8" s="185"/>
    </row>
    <row r="9" spans="1:16" ht="24" customHeight="1">
      <c r="A9" s="753" t="s">
        <v>18</v>
      </c>
      <c r="B9" s="754"/>
      <c r="C9" s="186">
        <v>2805000</v>
      </c>
      <c r="D9" s="187">
        <f>SUM(E9:O9)-50400</f>
        <v>2265790</v>
      </c>
      <c r="E9" s="458">
        <v>50400</v>
      </c>
      <c r="F9" s="190">
        <v>1436790</v>
      </c>
      <c r="G9" s="190"/>
      <c r="H9" s="190"/>
      <c r="I9" s="190">
        <v>557340</v>
      </c>
      <c r="J9" s="190">
        <v>271660</v>
      </c>
      <c r="K9" s="190"/>
      <c r="L9" s="190"/>
      <c r="M9" s="190"/>
      <c r="N9" s="190"/>
      <c r="O9" s="189"/>
      <c r="P9" s="185"/>
    </row>
    <row r="10" spans="1:16" ht="24" customHeight="1">
      <c r="A10" s="753" t="s">
        <v>19</v>
      </c>
      <c r="B10" s="754"/>
      <c r="C10" s="186">
        <v>10004300</v>
      </c>
      <c r="D10" s="187">
        <f t="shared" si="0"/>
        <v>6365865.4</v>
      </c>
      <c r="E10" s="458"/>
      <c r="F10" s="190">
        <v>677846.05</v>
      </c>
      <c r="G10" s="190">
        <v>78308</v>
      </c>
      <c r="H10" s="190">
        <v>760638</v>
      </c>
      <c r="I10" s="190">
        <v>1011102.94</v>
      </c>
      <c r="J10" s="190">
        <v>3189918.41</v>
      </c>
      <c r="K10" s="190">
        <v>517627</v>
      </c>
      <c r="L10" s="190">
        <v>130425</v>
      </c>
      <c r="M10" s="190"/>
      <c r="N10" s="190"/>
      <c r="O10" s="189"/>
      <c r="P10" s="185"/>
    </row>
    <row r="11" spans="1:16" ht="24" customHeight="1">
      <c r="A11" s="753" t="s">
        <v>20</v>
      </c>
      <c r="B11" s="754"/>
      <c r="C11" s="186">
        <v>8414752.14</v>
      </c>
      <c r="D11" s="187">
        <f t="shared" si="0"/>
        <v>6339821.47</v>
      </c>
      <c r="E11" s="458"/>
      <c r="F11" s="190">
        <v>764469.6</v>
      </c>
      <c r="G11" s="190">
        <v>146015</v>
      </c>
      <c r="H11" s="190">
        <v>3710963.84</v>
      </c>
      <c r="I11" s="190">
        <v>1201781.7</v>
      </c>
      <c r="J11" s="190">
        <v>516591.33</v>
      </c>
      <c r="K11" s="190"/>
      <c r="L11" s="190"/>
      <c r="M11" s="190"/>
      <c r="N11" s="190"/>
      <c r="O11" s="189"/>
      <c r="P11" s="185"/>
    </row>
    <row r="12" spans="1:16" ht="24" customHeight="1">
      <c r="A12" s="753" t="s">
        <v>21</v>
      </c>
      <c r="B12" s="754"/>
      <c r="C12" s="186">
        <v>1420000</v>
      </c>
      <c r="D12" s="187">
        <f t="shared" si="0"/>
        <v>1107921.7</v>
      </c>
      <c r="E12" s="458"/>
      <c r="F12" s="190">
        <v>375072.87</v>
      </c>
      <c r="G12" s="190"/>
      <c r="H12" s="190"/>
      <c r="I12" s="190"/>
      <c r="J12" s="190">
        <v>271552.63</v>
      </c>
      <c r="K12" s="190"/>
      <c r="L12" s="190"/>
      <c r="M12" s="190"/>
      <c r="N12" s="190">
        <v>461296.2</v>
      </c>
      <c r="O12" s="189"/>
      <c r="P12" s="185"/>
    </row>
    <row r="13" spans="1:16" ht="24" customHeight="1">
      <c r="A13" s="753" t="s">
        <v>330</v>
      </c>
      <c r="B13" s="754"/>
      <c r="C13" s="186">
        <v>8349400</v>
      </c>
      <c r="D13" s="187">
        <f t="shared" si="0"/>
        <v>6970649.359999999</v>
      </c>
      <c r="E13" s="187"/>
      <c r="F13" s="191">
        <v>1077112.88</v>
      </c>
      <c r="G13" s="191">
        <v>121254.9</v>
      </c>
      <c r="H13" s="191">
        <v>159109</v>
      </c>
      <c r="I13" s="189">
        <v>4093988</v>
      </c>
      <c r="J13" s="189">
        <v>1519184.58</v>
      </c>
      <c r="K13" s="189"/>
      <c r="L13" s="189"/>
      <c r="M13" s="190"/>
      <c r="N13" s="189"/>
      <c r="O13" s="189"/>
      <c r="P13" s="185"/>
    </row>
    <row r="14" spans="1:16" ht="24" customHeight="1">
      <c r="A14" s="753" t="s">
        <v>23</v>
      </c>
      <c r="B14" s="754"/>
      <c r="C14" s="186">
        <v>8887000</v>
      </c>
      <c r="D14" s="187">
        <f t="shared" si="0"/>
        <v>7964022.98</v>
      </c>
      <c r="E14" s="187"/>
      <c r="F14" s="191">
        <v>0</v>
      </c>
      <c r="G14" s="191"/>
      <c r="H14" s="191">
        <v>356500</v>
      </c>
      <c r="I14" s="189"/>
      <c r="J14" s="189"/>
      <c r="K14" s="189"/>
      <c r="L14" s="189"/>
      <c r="M14" s="189">
        <v>7607522.98</v>
      </c>
      <c r="N14" s="189"/>
      <c r="O14" s="189"/>
      <c r="P14" s="185"/>
    </row>
    <row r="15" spans="1:16" ht="24" customHeight="1">
      <c r="A15" s="753" t="s">
        <v>24</v>
      </c>
      <c r="B15" s="754"/>
      <c r="C15" s="186">
        <v>20000</v>
      </c>
      <c r="D15" s="187">
        <f t="shared" si="0"/>
        <v>20000</v>
      </c>
      <c r="E15" s="187"/>
      <c r="F15" s="188">
        <v>20000</v>
      </c>
      <c r="G15" s="192"/>
      <c r="H15" s="192"/>
      <c r="I15" s="190"/>
      <c r="J15" s="190"/>
      <c r="K15" s="190"/>
      <c r="L15" s="190"/>
      <c r="M15" s="190"/>
      <c r="N15" s="190"/>
      <c r="O15" s="189"/>
      <c r="P15" s="185"/>
    </row>
    <row r="16" spans="1:16" ht="24" customHeight="1">
      <c r="A16" s="753" t="s">
        <v>127</v>
      </c>
      <c r="B16" s="754"/>
      <c r="C16" s="186">
        <v>8456223.86</v>
      </c>
      <c r="D16" s="187">
        <f t="shared" si="0"/>
        <v>8245023.86</v>
      </c>
      <c r="E16" s="458"/>
      <c r="F16" s="192"/>
      <c r="G16" s="192"/>
      <c r="H16" s="192">
        <v>7933800</v>
      </c>
      <c r="I16" s="190"/>
      <c r="J16" s="190">
        <v>211223.86</v>
      </c>
      <c r="K16" s="190"/>
      <c r="L16" s="190">
        <v>100000</v>
      </c>
      <c r="M16" s="190"/>
      <c r="N16" s="190"/>
      <c r="O16" s="189"/>
      <c r="P16" s="185"/>
    </row>
    <row r="17" spans="1:16" ht="24" customHeight="1">
      <c r="A17" s="753"/>
      <c r="B17" s="754"/>
      <c r="C17" s="186"/>
      <c r="D17" s="187"/>
      <c r="E17" s="458"/>
      <c r="F17" s="192"/>
      <c r="G17" s="192"/>
      <c r="H17" s="192"/>
      <c r="I17" s="190"/>
      <c r="J17" s="190"/>
      <c r="K17" s="190"/>
      <c r="L17" s="190"/>
      <c r="M17" s="190"/>
      <c r="N17" s="190"/>
      <c r="O17" s="189"/>
      <c r="P17" s="185"/>
    </row>
    <row r="18" spans="1:16" ht="24" customHeight="1" thickBot="1">
      <c r="A18" s="764" t="s">
        <v>117</v>
      </c>
      <c r="B18" s="765"/>
      <c r="C18" s="565">
        <f>SUM(C6:C17)</f>
        <v>80000000</v>
      </c>
      <c r="D18" s="566">
        <f>SUM(D6:D17)</f>
        <v>65265092.18000001</v>
      </c>
      <c r="E18" s="566">
        <f>SUM(E6:E17)</f>
        <v>487050.5</v>
      </c>
      <c r="F18" s="565">
        <f>SUM(F6:F17)</f>
        <v>14499392.399999999</v>
      </c>
      <c r="G18" s="565">
        <f>SUM(G10:G17)</f>
        <v>345577.9</v>
      </c>
      <c r="H18" s="565">
        <f>SUM(H6:H17)</f>
        <v>13479351.84</v>
      </c>
      <c r="I18" s="565">
        <f aca="true" t="shared" si="1" ref="I18:O18">SUM(I6:I17)</f>
        <v>11088475.64</v>
      </c>
      <c r="J18" s="565">
        <f t="shared" si="1"/>
        <v>8253111.8100000005</v>
      </c>
      <c r="K18" s="565">
        <f t="shared" si="1"/>
        <v>517627</v>
      </c>
      <c r="L18" s="565">
        <f t="shared" si="1"/>
        <v>230425</v>
      </c>
      <c r="M18" s="565">
        <f t="shared" si="1"/>
        <v>7607522.98</v>
      </c>
      <c r="N18" s="565">
        <f t="shared" si="1"/>
        <v>461296.2</v>
      </c>
      <c r="O18" s="565">
        <f t="shared" si="1"/>
        <v>8782311.41</v>
      </c>
      <c r="P18" s="185"/>
    </row>
    <row r="19" spans="1:15" ht="24" customHeight="1" thickTop="1">
      <c r="A19" s="766" t="s">
        <v>130</v>
      </c>
      <c r="B19" s="767"/>
      <c r="C19" s="180"/>
      <c r="D19" s="193"/>
      <c r="E19" s="193"/>
      <c r="F19" s="185"/>
      <c r="G19" s="185"/>
      <c r="H19" s="185"/>
      <c r="I19" s="194"/>
      <c r="J19" s="185"/>
      <c r="K19" s="185"/>
      <c r="L19" s="185"/>
      <c r="M19" s="185"/>
      <c r="N19" s="185"/>
      <c r="O19" s="194"/>
    </row>
    <row r="20" spans="1:15" ht="24" customHeight="1">
      <c r="A20" s="753" t="s">
        <v>331</v>
      </c>
      <c r="B20" s="754"/>
      <c r="C20" s="186">
        <v>7915400</v>
      </c>
      <c r="D20" s="186">
        <v>8301724.98</v>
      </c>
      <c r="E20" s="186"/>
      <c r="F20" s="190"/>
      <c r="G20" s="190"/>
      <c r="H20" s="190"/>
      <c r="I20" s="189"/>
      <c r="J20" s="190"/>
      <c r="K20" s="190"/>
      <c r="L20" s="190"/>
      <c r="M20" s="190"/>
      <c r="N20" s="190"/>
      <c r="O20" s="189"/>
    </row>
    <row r="21" spans="1:15" ht="24" customHeight="1">
      <c r="A21" s="753" t="s">
        <v>332</v>
      </c>
      <c r="B21" s="754"/>
      <c r="C21" s="186">
        <v>40212500</v>
      </c>
      <c r="D21" s="186">
        <v>44740531.97</v>
      </c>
      <c r="E21" s="186"/>
      <c r="F21" s="190"/>
      <c r="G21" s="190"/>
      <c r="H21" s="190"/>
      <c r="I21" s="189"/>
      <c r="J21" s="190"/>
      <c r="K21" s="190"/>
      <c r="L21" s="190"/>
      <c r="M21" s="190"/>
      <c r="N21" s="190"/>
      <c r="O21" s="189"/>
    </row>
    <row r="22" spans="1:15" s="198" customFormat="1" ht="24" customHeight="1">
      <c r="A22" s="760" t="s">
        <v>337</v>
      </c>
      <c r="B22" s="761"/>
      <c r="C22" s="195">
        <v>2611100</v>
      </c>
      <c r="D22" s="195">
        <v>2196815.2</v>
      </c>
      <c r="E22" s="195"/>
      <c r="F22" s="196"/>
      <c r="G22" s="196"/>
      <c r="H22" s="196"/>
      <c r="I22" s="197"/>
      <c r="J22" s="196"/>
      <c r="K22" s="196"/>
      <c r="L22" s="196"/>
      <c r="M22" s="196"/>
      <c r="N22" s="196"/>
      <c r="O22" s="197"/>
    </row>
    <row r="23" spans="1:15" ht="24" customHeight="1">
      <c r="A23" s="762" t="s">
        <v>333</v>
      </c>
      <c r="B23" s="763"/>
      <c r="C23" s="199"/>
      <c r="D23" s="199"/>
      <c r="E23" s="199"/>
      <c r="F23" s="200"/>
      <c r="G23" s="200"/>
      <c r="H23" s="200"/>
      <c r="I23" s="201"/>
      <c r="J23" s="200"/>
      <c r="K23" s="200"/>
      <c r="L23" s="200"/>
      <c r="M23" s="200"/>
      <c r="N23" s="200"/>
      <c r="O23" s="201"/>
    </row>
    <row r="24" spans="1:15" ht="24" customHeight="1">
      <c r="A24" s="753" t="s">
        <v>124</v>
      </c>
      <c r="B24" s="754"/>
      <c r="C24" s="186">
        <v>1245000</v>
      </c>
      <c r="D24" s="186">
        <v>811291.94</v>
      </c>
      <c r="E24" s="186"/>
      <c r="F24" s="190"/>
      <c r="G24" s="190"/>
      <c r="H24" s="190"/>
      <c r="I24" s="189"/>
      <c r="J24" s="190"/>
      <c r="K24" s="190"/>
      <c r="L24" s="190"/>
      <c r="M24" s="190"/>
      <c r="N24" s="190"/>
      <c r="O24" s="189"/>
    </row>
    <row r="25" spans="1:15" ht="24" customHeight="1">
      <c r="A25" s="753" t="s">
        <v>334</v>
      </c>
      <c r="B25" s="754"/>
      <c r="C25" s="202">
        <v>1300000</v>
      </c>
      <c r="D25" s="186">
        <v>1215242</v>
      </c>
      <c r="E25" s="186"/>
      <c r="F25" s="192"/>
      <c r="G25" s="192"/>
      <c r="H25" s="192"/>
      <c r="I25" s="189"/>
      <c r="J25" s="190"/>
      <c r="K25" s="190"/>
      <c r="L25" s="190"/>
      <c r="M25" s="190"/>
      <c r="N25" s="190"/>
      <c r="O25" s="189"/>
    </row>
    <row r="26" spans="1:15" ht="24" customHeight="1">
      <c r="A26" s="753" t="s">
        <v>125</v>
      </c>
      <c r="B26" s="754"/>
      <c r="C26" s="186">
        <v>120000</v>
      </c>
      <c r="D26" s="202">
        <v>61360</v>
      </c>
      <c r="E26" s="202"/>
      <c r="F26" s="190"/>
      <c r="G26" s="190"/>
      <c r="H26" s="190"/>
      <c r="I26" s="189"/>
      <c r="J26" s="190"/>
      <c r="K26" s="190"/>
      <c r="L26" s="190"/>
      <c r="M26" s="190"/>
      <c r="N26" s="190"/>
      <c r="O26" s="189"/>
    </row>
    <row r="27" spans="1:15" ht="24" customHeight="1">
      <c r="A27" s="753" t="s">
        <v>126</v>
      </c>
      <c r="B27" s="754"/>
      <c r="C27" s="202">
        <v>20000</v>
      </c>
      <c r="D27" s="186">
        <v>37690</v>
      </c>
      <c r="E27" s="186"/>
      <c r="F27" s="192"/>
      <c r="G27" s="192"/>
      <c r="H27" s="192"/>
      <c r="I27" s="189"/>
      <c r="J27" s="190"/>
      <c r="K27" s="190"/>
      <c r="L27" s="190"/>
      <c r="M27" s="190"/>
      <c r="N27" s="190"/>
      <c r="O27" s="189"/>
    </row>
    <row r="28" spans="1:15" ht="24" customHeight="1">
      <c r="A28" s="753" t="s">
        <v>335</v>
      </c>
      <c r="B28" s="754"/>
      <c r="C28" s="186">
        <v>26576000</v>
      </c>
      <c r="D28" s="212">
        <v>24550939</v>
      </c>
      <c r="E28" s="202"/>
      <c r="F28" s="190"/>
      <c r="G28" s="190"/>
      <c r="H28" s="190"/>
      <c r="I28" s="189"/>
      <c r="J28" s="190"/>
      <c r="K28" s="190"/>
      <c r="L28" s="190"/>
      <c r="M28" s="190"/>
      <c r="N28" s="190"/>
      <c r="O28" s="189"/>
    </row>
    <row r="29" spans="1:15" ht="24" customHeight="1">
      <c r="A29" s="755" t="s">
        <v>338</v>
      </c>
      <c r="B29" s="756"/>
      <c r="C29" s="208">
        <v>0</v>
      </c>
      <c r="D29" s="209">
        <f>+E29</f>
        <v>487050.5</v>
      </c>
      <c r="E29" s="459">
        <v>487050.5</v>
      </c>
      <c r="F29" s="210"/>
      <c r="G29" s="210"/>
      <c r="H29" s="210"/>
      <c r="I29" s="211"/>
      <c r="J29" s="210"/>
      <c r="K29" s="210"/>
      <c r="L29" s="210"/>
      <c r="M29" s="210"/>
      <c r="N29" s="210"/>
      <c r="O29" s="211"/>
    </row>
    <row r="30" spans="1:15" ht="24.75" customHeight="1" thickBot="1">
      <c r="A30" s="757" t="s">
        <v>128</v>
      </c>
      <c r="B30" s="757"/>
      <c r="C30" s="203">
        <f>SUM(C20:C29)</f>
        <v>80000000</v>
      </c>
      <c r="D30" s="203">
        <f>SUM(D20:D29)</f>
        <v>82402645.59</v>
      </c>
      <c r="E30" s="203">
        <f>+E29</f>
        <v>487050.5</v>
      </c>
      <c r="F30" s="203"/>
      <c r="G30" s="203"/>
      <c r="H30" s="203"/>
      <c r="I30" s="204"/>
      <c r="J30" s="205"/>
      <c r="K30" s="205"/>
      <c r="L30" s="205"/>
      <c r="M30" s="205"/>
      <c r="N30" s="205"/>
      <c r="O30" s="204"/>
    </row>
    <row r="31" spans="1:15" ht="24.75" customHeight="1" thickBot="1" thickTop="1">
      <c r="A31" s="758" t="s">
        <v>336</v>
      </c>
      <c r="B31" s="758"/>
      <c r="C31" s="759"/>
      <c r="D31" s="206">
        <f>+D30-D18</f>
        <v>17137553.409999996</v>
      </c>
      <c r="E31" s="461"/>
      <c r="F31" s="460"/>
      <c r="G31" s="198"/>
      <c r="H31" s="198"/>
      <c r="I31" s="198"/>
      <c r="J31" s="198"/>
      <c r="K31" s="198"/>
      <c r="L31" s="198"/>
      <c r="M31" s="198"/>
      <c r="N31" s="198"/>
      <c r="O31" s="198"/>
    </row>
    <row r="32" ht="18" customHeight="1" thickTop="1"/>
    <row r="33" spans="2:18" s="607" customFormat="1" ht="21">
      <c r="B33" s="604"/>
      <c r="C33" s="604" t="s">
        <v>683</v>
      </c>
      <c r="D33" s="604"/>
      <c r="E33" s="605"/>
      <c r="G33" s="605" t="s">
        <v>686</v>
      </c>
      <c r="H33" s="605"/>
      <c r="I33" s="605"/>
      <c r="K33" s="605" t="s">
        <v>684</v>
      </c>
      <c r="L33" s="605"/>
      <c r="M33" s="605"/>
      <c r="O33" s="605" t="s">
        <v>685</v>
      </c>
      <c r="P33" s="605"/>
      <c r="Q33" s="605"/>
      <c r="R33" s="606"/>
    </row>
    <row r="34" spans="2:18" s="607" customFormat="1" ht="21">
      <c r="B34" s="604"/>
      <c r="C34" s="604" t="s">
        <v>361</v>
      </c>
      <c r="D34" s="604"/>
      <c r="E34" s="605"/>
      <c r="G34" s="605" t="s">
        <v>194</v>
      </c>
      <c r="H34" s="605"/>
      <c r="I34" s="605"/>
      <c r="K34" s="605" t="s">
        <v>263</v>
      </c>
      <c r="L34" s="605"/>
      <c r="M34" s="605"/>
      <c r="O34" s="605" t="s">
        <v>200</v>
      </c>
      <c r="P34" s="605"/>
      <c r="Q34" s="605"/>
      <c r="R34" s="606"/>
    </row>
    <row r="35" spans="2:18" s="607" customFormat="1" ht="21">
      <c r="B35" s="604"/>
      <c r="C35" s="604" t="s">
        <v>195</v>
      </c>
      <c r="D35" s="604"/>
      <c r="E35" s="605"/>
      <c r="G35" s="605" t="s">
        <v>197</v>
      </c>
      <c r="H35" s="605"/>
      <c r="I35" s="605"/>
      <c r="K35" s="605" t="s">
        <v>201</v>
      </c>
      <c r="L35" s="605"/>
      <c r="M35" s="605"/>
      <c r="O35" s="605" t="s">
        <v>202</v>
      </c>
      <c r="P35" s="605"/>
      <c r="Q35" s="605"/>
      <c r="R35" s="606"/>
    </row>
    <row r="36" spans="1:15" ht="24.75" customHeight="1">
      <c r="A36" s="768" t="s">
        <v>164</v>
      </c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</row>
    <row r="37" spans="1:15" ht="24.75" customHeight="1">
      <c r="A37" s="768" t="s">
        <v>339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</row>
    <row r="38" spans="1:15" ht="24.75" customHeight="1">
      <c r="A38" s="769" t="s">
        <v>535</v>
      </c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</row>
    <row r="39" spans="1:16" s="181" customFormat="1" ht="77.25" customHeight="1">
      <c r="A39" s="770" t="s">
        <v>13</v>
      </c>
      <c r="B39" s="771"/>
      <c r="C39" s="178" t="s">
        <v>123</v>
      </c>
      <c r="D39" s="178" t="s">
        <v>329</v>
      </c>
      <c r="E39" s="179" t="s">
        <v>537</v>
      </c>
      <c r="F39" s="179" t="s">
        <v>541</v>
      </c>
      <c r="G39" s="179" t="s">
        <v>442</v>
      </c>
      <c r="H39" s="179" t="s">
        <v>536</v>
      </c>
      <c r="I39" s="179" t="s">
        <v>439</v>
      </c>
      <c r="J39" s="179" t="s">
        <v>444</v>
      </c>
      <c r="K39" s="179" t="s">
        <v>448</v>
      </c>
      <c r="L39" s="179" t="s">
        <v>538</v>
      </c>
      <c r="M39" s="179" t="s">
        <v>539</v>
      </c>
      <c r="N39" s="179" t="s">
        <v>457</v>
      </c>
      <c r="O39" s="179" t="s">
        <v>540</v>
      </c>
      <c r="P39" s="568" t="s">
        <v>468</v>
      </c>
    </row>
    <row r="40" spans="1:16" ht="23.25" customHeight="1">
      <c r="A40" s="772" t="s">
        <v>129</v>
      </c>
      <c r="B40" s="773"/>
      <c r="C40" s="182"/>
      <c r="D40" s="183"/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569"/>
    </row>
    <row r="41" spans="1:16" ht="23.25" customHeight="1">
      <c r="A41" s="753" t="s">
        <v>17</v>
      </c>
      <c r="B41" s="754"/>
      <c r="C41" s="186">
        <v>10576792</v>
      </c>
      <c r="D41" s="187">
        <f>SUM(E41:P41)-17059.5</f>
        <v>8782311.41</v>
      </c>
      <c r="E41" s="187">
        <v>17059.5</v>
      </c>
      <c r="F41" s="188"/>
      <c r="G41" s="188"/>
      <c r="H41" s="188"/>
      <c r="I41" s="188"/>
      <c r="J41" s="189"/>
      <c r="K41" s="190"/>
      <c r="L41" s="190"/>
      <c r="M41" s="190"/>
      <c r="N41" s="190"/>
      <c r="O41" s="190"/>
      <c r="P41" s="189">
        <f>8788711.41-6400</f>
        <v>8782311.41</v>
      </c>
    </row>
    <row r="42" spans="1:16" ht="23.25" customHeight="1">
      <c r="A42" s="753" t="s">
        <v>248</v>
      </c>
      <c r="B42" s="754"/>
      <c r="C42" s="186">
        <v>1783880</v>
      </c>
      <c r="D42" s="187">
        <f>SUM(E42:O42)</f>
        <v>1783800</v>
      </c>
      <c r="E42" s="458"/>
      <c r="F42" s="190"/>
      <c r="G42" s="190">
        <v>1783800</v>
      </c>
      <c r="H42" s="190"/>
      <c r="I42" s="190"/>
      <c r="J42" s="190"/>
      <c r="K42" s="190"/>
      <c r="L42" s="190"/>
      <c r="M42" s="190"/>
      <c r="N42" s="190"/>
      <c r="O42" s="190"/>
      <c r="P42" s="189"/>
    </row>
    <row r="43" spans="1:16" ht="23.25" customHeight="1">
      <c r="A43" s="753" t="s">
        <v>249</v>
      </c>
      <c r="B43" s="754"/>
      <c r="C43" s="186">
        <v>19282652</v>
      </c>
      <c r="D43" s="187">
        <f>SUM(E43:O43)-419591</f>
        <v>15419886</v>
      </c>
      <c r="E43" s="458">
        <v>419591</v>
      </c>
      <c r="F43" s="190"/>
      <c r="G43" s="190">
        <v>8364301</v>
      </c>
      <c r="H43" s="190"/>
      <c r="I43" s="190">
        <v>558341</v>
      </c>
      <c r="J43" s="190">
        <v>4224263</v>
      </c>
      <c r="K43" s="190">
        <v>2272981</v>
      </c>
      <c r="L43" s="190"/>
      <c r="M43" s="190"/>
      <c r="N43" s="190"/>
      <c r="O43" s="190"/>
      <c r="P43" s="189"/>
    </row>
    <row r="44" spans="1:16" ht="23.25" customHeight="1">
      <c r="A44" s="753" t="s">
        <v>18</v>
      </c>
      <c r="B44" s="754"/>
      <c r="C44" s="186">
        <v>2805000</v>
      </c>
      <c r="D44" s="187">
        <f>SUM(E44:O44)-50400</f>
        <v>2265790</v>
      </c>
      <c r="E44" s="458">
        <v>50400</v>
      </c>
      <c r="F44" s="190"/>
      <c r="G44" s="190">
        <v>1436790</v>
      </c>
      <c r="H44" s="190"/>
      <c r="I44" s="190"/>
      <c r="J44" s="190">
        <v>557340</v>
      </c>
      <c r="K44" s="190">
        <v>271660</v>
      </c>
      <c r="L44" s="190"/>
      <c r="M44" s="190"/>
      <c r="N44" s="190"/>
      <c r="O44" s="190"/>
      <c r="P44" s="189"/>
    </row>
    <row r="45" spans="1:16" ht="23.25" customHeight="1">
      <c r="A45" s="753" t="s">
        <v>19</v>
      </c>
      <c r="B45" s="754"/>
      <c r="C45" s="186">
        <v>10004300</v>
      </c>
      <c r="D45" s="187">
        <f aca="true" t="shared" si="2" ref="D45:D51">SUM(E45:O45)</f>
        <v>6365865.4</v>
      </c>
      <c r="E45" s="458"/>
      <c r="F45" s="190"/>
      <c r="G45" s="190">
        <v>677846.05</v>
      </c>
      <c r="H45" s="190">
        <v>78308</v>
      </c>
      <c r="I45" s="190">
        <v>760638</v>
      </c>
      <c r="J45" s="190">
        <v>1011102.94</v>
      </c>
      <c r="K45" s="190">
        <v>3189918.41</v>
      </c>
      <c r="L45" s="190">
        <v>517627</v>
      </c>
      <c r="M45" s="190">
        <v>130425</v>
      </c>
      <c r="N45" s="190"/>
      <c r="O45" s="190"/>
      <c r="P45" s="189"/>
    </row>
    <row r="46" spans="1:16" ht="23.25" customHeight="1">
      <c r="A46" s="753" t="s">
        <v>20</v>
      </c>
      <c r="B46" s="754"/>
      <c r="C46" s="186">
        <v>8414752.14</v>
      </c>
      <c r="D46" s="187">
        <f t="shared" si="2"/>
        <v>6339821.47</v>
      </c>
      <c r="E46" s="458"/>
      <c r="F46" s="190"/>
      <c r="G46" s="190">
        <v>764469.6</v>
      </c>
      <c r="H46" s="190">
        <v>146015</v>
      </c>
      <c r="I46" s="190">
        <v>3710963.84</v>
      </c>
      <c r="J46" s="190">
        <v>1201781.7</v>
      </c>
      <c r="K46" s="190">
        <v>516591.33</v>
      </c>
      <c r="L46" s="190"/>
      <c r="M46" s="190"/>
      <c r="N46" s="190"/>
      <c r="O46" s="190"/>
      <c r="P46" s="189"/>
    </row>
    <row r="47" spans="1:16" ht="23.25" customHeight="1">
      <c r="A47" s="753" t="s">
        <v>21</v>
      </c>
      <c r="B47" s="754"/>
      <c r="C47" s="186">
        <v>1420000</v>
      </c>
      <c r="D47" s="187">
        <f t="shared" si="2"/>
        <v>1107921.7</v>
      </c>
      <c r="E47" s="458"/>
      <c r="F47" s="190"/>
      <c r="G47" s="190">
        <v>375072.87</v>
      </c>
      <c r="H47" s="190"/>
      <c r="I47" s="190"/>
      <c r="J47" s="190"/>
      <c r="K47" s="190">
        <v>271552.63</v>
      </c>
      <c r="L47" s="190"/>
      <c r="M47" s="190"/>
      <c r="N47" s="190"/>
      <c r="O47" s="190">
        <v>461296.2</v>
      </c>
      <c r="P47" s="189"/>
    </row>
    <row r="48" spans="1:16" ht="23.25" customHeight="1">
      <c r="A48" s="753" t="s">
        <v>330</v>
      </c>
      <c r="B48" s="754"/>
      <c r="C48" s="186">
        <v>8349400</v>
      </c>
      <c r="D48" s="187">
        <f t="shared" si="2"/>
        <v>6970649.359999999</v>
      </c>
      <c r="E48" s="187"/>
      <c r="F48" s="191"/>
      <c r="G48" s="191">
        <v>1077112.88</v>
      </c>
      <c r="H48" s="191">
        <v>121254.9</v>
      </c>
      <c r="I48" s="191">
        <v>159109</v>
      </c>
      <c r="J48" s="189">
        <v>4093988</v>
      </c>
      <c r="K48" s="189">
        <v>1519184.58</v>
      </c>
      <c r="L48" s="189"/>
      <c r="M48" s="189"/>
      <c r="N48" s="190"/>
      <c r="O48" s="189"/>
      <c r="P48" s="189"/>
    </row>
    <row r="49" spans="1:16" ht="23.25" customHeight="1">
      <c r="A49" s="753" t="s">
        <v>23</v>
      </c>
      <c r="B49" s="754"/>
      <c r="C49" s="186">
        <v>8887000</v>
      </c>
      <c r="D49" s="187">
        <f>SUM(G49:O49)</f>
        <v>10340022.98</v>
      </c>
      <c r="E49" s="187"/>
      <c r="F49" s="191">
        <v>2376000</v>
      </c>
      <c r="G49" s="191">
        <v>0</v>
      </c>
      <c r="H49" s="191"/>
      <c r="I49" s="191">
        <v>356500</v>
      </c>
      <c r="J49" s="189"/>
      <c r="K49" s="189"/>
      <c r="L49" s="189"/>
      <c r="M49" s="189"/>
      <c r="N49" s="189">
        <f>7607522.98+2376000</f>
        <v>9983522.98</v>
      </c>
      <c r="O49" s="189"/>
      <c r="P49" s="189"/>
    </row>
    <row r="50" spans="1:16" ht="23.25" customHeight="1">
      <c r="A50" s="753" t="s">
        <v>24</v>
      </c>
      <c r="B50" s="754"/>
      <c r="C50" s="186">
        <v>20000</v>
      </c>
      <c r="D50" s="187">
        <f t="shared" si="2"/>
        <v>20000</v>
      </c>
      <c r="E50" s="187"/>
      <c r="F50" s="188"/>
      <c r="G50" s="188">
        <v>20000</v>
      </c>
      <c r="H50" s="192"/>
      <c r="I50" s="192"/>
      <c r="J50" s="190"/>
      <c r="K50" s="190"/>
      <c r="L50" s="190"/>
      <c r="M50" s="190"/>
      <c r="N50" s="190"/>
      <c r="O50" s="190"/>
      <c r="P50" s="189"/>
    </row>
    <row r="51" spans="1:16" ht="23.25" customHeight="1">
      <c r="A51" s="753" t="s">
        <v>127</v>
      </c>
      <c r="B51" s="754"/>
      <c r="C51" s="186">
        <v>8456223.86</v>
      </c>
      <c r="D51" s="187">
        <f t="shared" si="2"/>
        <v>8245023.86</v>
      </c>
      <c r="E51" s="458"/>
      <c r="F51" s="192"/>
      <c r="G51" s="192"/>
      <c r="H51" s="192"/>
      <c r="I51" s="192">
        <v>7933800</v>
      </c>
      <c r="J51" s="190"/>
      <c r="K51" s="190">
        <v>211223.86</v>
      </c>
      <c r="L51" s="190"/>
      <c r="M51" s="190">
        <v>100000</v>
      </c>
      <c r="N51" s="190"/>
      <c r="O51" s="190"/>
      <c r="P51" s="189"/>
    </row>
    <row r="52" spans="1:16" ht="23.25" customHeight="1">
      <c r="A52" s="753"/>
      <c r="B52" s="754"/>
      <c r="C52" s="186"/>
      <c r="D52" s="187"/>
      <c r="E52" s="458"/>
      <c r="F52" s="192"/>
      <c r="G52" s="192"/>
      <c r="H52" s="192"/>
      <c r="I52" s="192"/>
      <c r="J52" s="190"/>
      <c r="K52" s="190"/>
      <c r="L52" s="190"/>
      <c r="M52" s="190"/>
      <c r="N52" s="190"/>
      <c r="O52" s="190"/>
      <c r="P52" s="189"/>
    </row>
    <row r="53" spans="1:16" ht="23.25" customHeight="1" thickBot="1">
      <c r="A53" s="764" t="s">
        <v>117</v>
      </c>
      <c r="B53" s="765"/>
      <c r="C53" s="565">
        <f>SUM(C41:C52)</f>
        <v>80000000</v>
      </c>
      <c r="D53" s="566">
        <f>SUM(D41:D52)</f>
        <v>67641092.18</v>
      </c>
      <c r="E53" s="566">
        <f>SUM(E41:E52)</f>
        <v>487050.5</v>
      </c>
      <c r="F53" s="565">
        <f>SUM(F41:F52)</f>
        <v>2376000</v>
      </c>
      <c r="G53" s="565">
        <f>SUM(G41:G52)</f>
        <v>14499392.399999999</v>
      </c>
      <c r="H53" s="565">
        <f>SUM(H45:H52)</f>
        <v>345577.9</v>
      </c>
      <c r="I53" s="565">
        <f>SUM(I41:I52)</f>
        <v>13479351.84</v>
      </c>
      <c r="J53" s="565">
        <f aca="true" t="shared" si="3" ref="J53:P53">SUM(J41:J52)</f>
        <v>11088475.64</v>
      </c>
      <c r="K53" s="565">
        <f t="shared" si="3"/>
        <v>8253111.8100000005</v>
      </c>
      <c r="L53" s="565">
        <f t="shared" si="3"/>
        <v>517627</v>
      </c>
      <c r="M53" s="565">
        <f t="shared" si="3"/>
        <v>230425</v>
      </c>
      <c r="N53" s="565">
        <f t="shared" si="3"/>
        <v>9983522.98</v>
      </c>
      <c r="O53" s="565">
        <f t="shared" si="3"/>
        <v>461296.2</v>
      </c>
      <c r="P53" s="565">
        <f t="shared" si="3"/>
        <v>8782311.41</v>
      </c>
    </row>
    <row r="54" spans="1:16" ht="23.25" customHeight="1" thickTop="1">
      <c r="A54" s="766" t="s">
        <v>130</v>
      </c>
      <c r="B54" s="767"/>
      <c r="C54" s="180"/>
      <c r="D54" s="193"/>
      <c r="E54" s="193"/>
      <c r="F54" s="185"/>
      <c r="G54" s="185"/>
      <c r="H54" s="185"/>
      <c r="I54" s="185"/>
      <c r="J54" s="194"/>
      <c r="K54" s="185"/>
      <c r="L54" s="185"/>
      <c r="M54" s="185"/>
      <c r="N54" s="185"/>
      <c r="O54" s="185"/>
      <c r="P54" s="194"/>
    </row>
    <row r="55" spans="1:16" ht="23.25" customHeight="1">
      <c r="A55" s="753" t="s">
        <v>331</v>
      </c>
      <c r="B55" s="754"/>
      <c r="C55" s="186">
        <v>7915400</v>
      </c>
      <c r="D55" s="186">
        <v>8301724.98</v>
      </c>
      <c r="E55" s="186"/>
      <c r="F55" s="190"/>
      <c r="G55" s="190"/>
      <c r="H55" s="190"/>
      <c r="I55" s="190"/>
      <c r="J55" s="189"/>
      <c r="K55" s="190"/>
      <c r="L55" s="190"/>
      <c r="M55" s="190"/>
      <c r="N55" s="190"/>
      <c r="O55" s="190"/>
      <c r="P55" s="189"/>
    </row>
    <row r="56" spans="1:16" ht="23.25" customHeight="1">
      <c r="A56" s="753" t="s">
        <v>332</v>
      </c>
      <c r="B56" s="754"/>
      <c r="C56" s="186">
        <v>40212500</v>
      </c>
      <c r="D56" s="186">
        <v>44740531.97</v>
      </c>
      <c r="E56" s="186"/>
      <c r="F56" s="190"/>
      <c r="G56" s="190"/>
      <c r="H56" s="190"/>
      <c r="I56" s="190"/>
      <c r="J56" s="189"/>
      <c r="K56" s="190"/>
      <c r="L56" s="190"/>
      <c r="M56" s="190"/>
      <c r="N56" s="190"/>
      <c r="O56" s="190"/>
      <c r="P56" s="189"/>
    </row>
    <row r="57" spans="1:16" s="198" customFormat="1" ht="23.25" customHeight="1">
      <c r="A57" s="760" t="s">
        <v>337</v>
      </c>
      <c r="B57" s="761"/>
      <c r="C57" s="195">
        <v>2611100</v>
      </c>
      <c r="D57" s="195">
        <v>2196815.2</v>
      </c>
      <c r="E57" s="195"/>
      <c r="F57" s="196"/>
      <c r="G57" s="196"/>
      <c r="H57" s="196"/>
      <c r="I57" s="196"/>
      <c r="J57" s="197"/>
      <c r="K57" s="196"/>
      <c r="L57" s="196"/>
      <c r="M57" s="196"/>
      <c r="N57" s="196"/>
      <c r="O57" s="196"/>
      <c r="P57" s="197"/>
    </row>
    <row r="58" spans="1:16" ht="23.25" customHeight="1">
      <c r="A58" s="762" t="s">
        <v>333</v>
      </c>
      <c r="B58" s="763"/>
      <c r="C58" s="199"/>
      <c r="D58" s="199"/>
      <c r="E58" s="199"/>
      <c r="F58" s="200"/>
      <c r="G58" s="200"/>
      <c r="H58" s="200"/>
      <c r="I58" s="200"/>
      <c r="J58" s="201"/>
      <c r="K58" s="200"/>
      <c r="L58" s="200"/>
      <c r="M58" s="200"/>
      <c r="N58" s="200"/>
      <c r="O58" s="200"/>
      <c r="P58" s="201"/>
    </row>
    <row r="59" spans="1:16" ht="23.25" customHeight="1">
      <c r="A59" s="753" t="s">
        <v>124</v>
      </c>
      <c r="B59" s="754"/>
      <c r="C59" s="186">
        <v>1245000</v>
      </c>
      <c r="D59" s="186">
        <v>811291.94</v>
      </c>
      <c r="E59" s="186"/>
      <c r="F59" s="190"/>
      <c r="G59" s="190"/>
      <c r="H59" s="190"/>
      <c r="I59" s="190"/>
      <c r="J59" s="189"/>
      <c r="K59" s="190"/>
      <c r="L59" s="190"/>
      <c r="M59" s="190"/>
      <c r="N59" s="190"/>
      <c r="O59" s="190"/>
      <c r="P59" s="189"/>
    </row>
    <row r="60" spans="1:16" ht="23.25" customHeight="1">
      <c r="A60" s="753" t="s">
        <v>334</v>
      </c>
      <c r="B60" s="754"/>
      <c r="C60" s="202">
        <v>1300000</v>
      </c>
      <c r="D60" s="186">
        <v>1215242</v>
      </c>
      <c r="E60" s="186"/>
      <c r="F60" s="192"/>
      <c r="G60" s="192"/>
      <c r="H60" s="192"/>
      <c r="I60" s="192"/>
      <c r="J60" s="189"/>
      <c r="K60" s="190"/>
      <c r="L60" s="190"/>
      <c r="M60" s="190"/>
      <c r="N60" s="190"/>
      <c r="O60" s="190"/>
      <c r="P60" s="189"/>
    </row>
    <row r="61" spans="1:16" ht="23.25" customHeight="1">
      <c r="A61" s="753" t="s">
        <v>125</v>
      </c>
      <c r="B61" s="754"/>
      <c r="C61" s="186">
        <v>120000</v>
      </c>
      <c r="D61" s="202">
        <v>61360</v>
      </c>
      <c r="E61" s="202"/>
      <c r="F61" s="190"/>
      <c r="G61" s="190"/>
      <c r="H61" s="190"/>
      <c r="I61" s="190"/>
      <c r="J61" s="189"/>
      <c r="K61" s="190"/>
      <c r="L61" s="190"/>
      <c r="M61" s="190"/>
      <c r="N61" s="190"/>
      <c r="O61" s="190"/>
      <c r="P61" s="189"/>
    </row>
    <row r="62" spans="1:16" ht="23.25" customHeight="1">
      <c r="A62" s="753" t="s">
        <v>126</v>
      </c>
      <c r="B62" s="754"/>
      <c r="C62" s="202">
        <v>20000</v>
      </c>
      <c r="D62" s="186">
        <v>37690</v>
      </c>
      <c r="E62" s="186"/>
      <c r="F62" s="192"/>
      <c r="G62" s="192"/>
      <c r="H62" s="192"/>
      <c r="I62" s="192"/>
      <c r="J62" s="189"/>
      <c r="K62" s="190"/>
      <c r="L62" s="190"/>
      <c r="M62" s="190"/>
      <c r="N62" s="190"/>
      <c r="O62" s="190"/>
      <c r="P62" s="189"/>
    </row>
    <row r="63" spans="1:16" ht="23.25" customHeight="1">
      <c r="A63" s="753" t="s">
        <v>335</v>
      </c>
      <c r="B63" s="754"/>
      <c r="C63" s="186">
        <v>26576000</v>
      </c>
      <c r="D63" s="212">
        <v>24550939</v>
      </c>
      <c r="E63" s="202"/>
      <c r="F63" s="190"/>
      <c r="G63" s="190"/>
      <c r="H63" s="190"/>
      <c r="I63" s="190"/>
      <c r="J63" s="189"/>
      <c r="K63" s="190"/>
      <c r="L63" s="190"/>
      <c r="M63" s="190"/>
      <c r="N63" s="190"/>
      <c r="O63" s="190"/>
      <c r="P63" s="189"/>
    </row>
    <row r="64" spans="1:16" ht="23.25" customHeight="1">
      <c r="A64" s="755" t="s">
        <v>338</v>
      </c>
      <c r="B64" s="756"/>
      <c r="C64" s="208">
        <v>0</v>
      </c>
      <c r="D64" s="209">
        <f>+E64</f>
        <v>487050.5</v>
      </c>
      <c r="E64" s="459">
        <v>487050.5</v>
      </c>
      <c r="F64" s="210"/>
      <c r="G64" s="210"/>
      <c r="H64" s="210"/>
      <c r="I64" s="210"/>
      <c r="J64" s="211"/>
      <c r="K64" s="210"/>
      <c r="L64" s="210"/>
      <c r="M64" s="210"/>
      <c r="N64" s="210"/>
      <c r="O64" s="210"/>
      <c r="P64" s="211"/>
    </row>
    <row r="65" spans="1:16" ht="23.25" customHeight="1" thickBot="1">
      <c r="A65" s="757" t="s">
        <v>128</v>
      </c>
      <c r="B65" s="757"/>
      <c r="C65" s="203">
        <f>SUM(C55:C64)</f>
        <v>80000000</v>
      </c>
      <c r="D65" s="203">
        <f>SUM(D55:D64)</f>
        <v>82402645.59</v>
      </c>
      <c r="E65" s="203">
        <f>+E64</f>
        <v>487050.5</v>
      </c>
      <c r="F65" s="203"/>
      <c r="G65" s="203"/>
      <c r="H65" s="203"/>
      <c r="I65" s="203"/>
      <c r="J65" s="204"/>
      <c r="K65" s="205"/>
      <c r="L65" s="205"/>
      <c r="M65" s="205"/>
      <c r="N65" s="205"/>
      <c r="O65" s="205"/>
      <c r="P65" s="204"/>
    </row>
    <row r="66" spans="1:15" ht="23.25" customHeight="1" thickBot="1" thickTop="1">
      <c r="A66" s="758" t="s">
        <v>336</v>
      </c>
      <c r="B66" s="758"/>
      <c r="C66" s="759"/>
      <c r="D66" s="206">
        <f>+D65-D53</f>
        <v>14761553.409999996</v>
      </c>
      <c r="E66" s="461"/>
      <c r="F66" s="460"/>
      <c r="G66" s="198"/>
      <c r="H66" s="198"/>
      <c r="I66" s="198"/>
      <c r="J66" s="198"/>
      <c r="K66" s="198"/>
      <c r="L66" s="198"/>
      <c r="M66" s="198"/>
      <c r="N66" s="198"/>
      <c r="O66" s="198"/>
    </row>
    <row r="67" ht="18" thickTop="1"/>
    <row r="68" spans="2:18" s="607" customFormat="1" ht="21">
      <c r="B68" s="604"/>
      <c r="C68" s="604" t="s">
        <v>683</v>
      </c>
      <c r="D68" s="604"/>
      <c r="E68" s="605"/>
      <c r="G68" s="605" t="s">
        <v>686</v>
      </c>
      <c r="H68" s="605"/>
      <c r="I68" s="605"/>
      <c r="K68" s="605" t="s">
        <v>684</v>
      </c>
      <c r="L68" s="605"/>
      <c r="M68" s="605"/>
      <c r="O68" s="605" t="s">
        <v>685</v>
      </c>
      <c r="P68" s="605"/>
      <c r="Q68" s="605"/>
      <c r="R68" s="606"/>
    </row>
    <row r="69" spans="2:18" s="607" customFormat="1" ht="21">
      <c r="B69" s="604"/>
      <c r="C69" s="604" t="s">
        <v>361</v>
      </c>
      <c r="D69" s="604"/>
      <c r="E69" s="605"/>
      <c r="G69" s="605" t="s">
        <v>194</v>
      </c>
      <c r="H69" s="605"/>
      <c r="I69" s="605"/>
      <c r="K69" s="605" t="s">
        <v>263</v>
      </c>
      <c r="L69" s="605"/>
      <c r="M69" s="605"/>
      <c r="O69" s="605" t="s">
        <v>200</v>
      </c>
      <c r="P69" s="605"/>
      <c r="Q69" s="605"/>
      <c r="R69" s="606"/>
    </row>
    <row r="70" spans="2:18" s="607" customFormat="1" ht="21">
      <c r="B70" s="604"/>
      <c r="C70" s="604" t="s">
        <v>195</v>
      </c>
      <c r="D70" s="604"/>
      <c r="E70" s="605"/>
      <c r="G70" s="605" t="s">
        <v>197</v>
      </c>
      <c r="H70" s="605"/>
      <c r="I70" s="605"/>
      <c r="K70" s="605" t="s">
        <v>201</v>
      </c>
      <c r="L70" s="605"/>
      <c r="M70" s="605"/>
      <c r="O70" s="605" t="s">
        <v>202</v>
      </c>
      <c r="P70" s="605"/>
      <c r="Q70" s="605"/>
      <c r="R70" s="606"/>
    </row>
  </sheetData>
  <sheetProtection/>
  <mergeCells count="62">
    <mergeCell ref="A66:C6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O36"/>
    <mergeCell ref="A37:O37"/>
    <mergeCell ref="A38:O38"/>
    <mergeCell ref="A39:B39"/>
    <mergeCell ref="A40:B40"/>
    <mergeCell ref="A41:B41"/>
    <mergeCell ref="A1:O1"/>
    <mergeCell ref="A2:O2"/>
    <mergeCell ref="A3:O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3:B23"/>
    <mergeCell ref="A24:B24"/>
    <mergeCell ref="A25:B25"/>
    <mergeCell ref="A13:B13"/>
    <mergeCell ref="A14:B14"/>
    <mergeCell ref="A15:B15"/>
    <mergeCell ref="A17:B17"/>
    <mergeCell ref="A18:B18"/>
    <mergeCell ref="A19:B19"/>
    <mergeCell ref="A26:B26"/>
    <mergeCell ref="A27:B27"/>
    <mergeCell ref="A29:B29"/>
    <mergeCell ref="A30:B30"/>
    <mergeCell ref="A31:C31"/>
    <mergeCell ref="A16:B16"/>
    <mergeCell ref="A28:B28"/>
    <mergeCell ref="A20:B20"/>
    <mergeCell ref="A21:B21"/>
    <mergeCell ref="A22:B22"/>
  </mergeCells>
  <printOptions/>
  <pageMargins left="0.56" right="0.2755905511811024" top="0.2362204724409449" bottom="0.2755905511811024" header="0.196850393700787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1"/>
  <sheetViews>
    <sheetView view="pageBreakPreview" zoomScale="80" zoomScaleNormal="110" zoomScaleSheetLayoutView="80" zoomScalePageLayoutView="0" workbookViewId="0" topLeftCell="A28">
      <selection activeCell="G49" sqref="G49"/>
    </sheetView>
  </sheetViews>
  <sheetFormatPr defaultColWidth="9.140625" defaultRowHeight="18" customHeight="1"/>
  <cols>
    <col min="1" max="1" width="43.421875" style="49" customWidth="1"/>
    <col min="2" max="2" width="8.7109375" style="44" customWidth="1"/>
    <col min="3" max="4" width="17.28125" style="39" customWidth="1"/>
    <col min="5" max="6" width="17.28125" style="176" customWidth="1"/>
    <col min="7" max="10" width="17.28125" style="39" customWidth="1"/>
    <col min="11" max="16384" width="9.140625" style="39" customWidth="1"/>
  </cols>
  <sheetData>
    <row r="1" spans="1:10" ht="18" customHeight="1">
      <c r="A1" s="780" t="s">
        <v>153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ht="18" customHeight="1">
      <c r="A2" s="781" t="s">
        <v>168</v>
      </c>
      <c r="B2" s="781"/>
      <c r="C2" s="781"/>
      <c r="D2" s="781"/>
      <c r="E2" s="781"/>
      <c r="F2" s="781"/>
      <c r="G2" s="781"/>
      <c r="H2" s="781"/>
      <c r="I2" s="781"/>
      <c r="J2" s="781"/>
    </row>
    <row r="3" spans="1:10" s="40" customFormat="1" ht="18" customHeight="1">
      <c r="A3" s="642" t="s">
        <v>13</v>
      </c>
      <c r="B3" s="783" t="s">
        <v>122</v>
      </c>
      <c r="C3" s="642" t="s">
        <v>154</v>
      </c>
      <c r="D3" s="775"/>
      <c r="E3" s="774" t="s">
        <v>155</v>
      </c>
      <c r="F3" s="774"/>
      <c r="G3" s="642" t="s">
        <v>155</v>
      </c>
      <c r="H3" s="775"/>
      <c r="I3" s="642" t="s">
        <v>136</v>
      </c>
      <c r="J3" s="775"/>
    </row>
    <row r="4" spans="1:10" s="40" customFormat="1" ht="18" customHeight="1">
      <c r="A4" s="782"/>
      <c r="B4" s="784"/>
      <c r="C4" s="776" t="s">
        <v>231</v>
      </c>
      <c r="D4" s="777"/>
      <c r="E4" s="778" t="s">
        <v>156</v>
      </c>
      <c r="F4" s="778"/>
      <c r="G4" s="776" t="s">
        <v>157</v>
      </c>
      <c r="H4" s="777"/>
      <c r="I4" s="776" t="s">
        <v>231</v>
      </c>
      <c r="J4" s="777"/>
    </row>
    <row r="5" spans="1:10" s="40" customFormat="1" ht="18" customHeight="1">
      <c r="A5" s="643"/>
      <c r="B5" s="785"/>
      <c r="C5" s="115" t="s">
        <v>14</v>
      </c>
      <c r="D5" s="41" t="s">
        <v>15</v>
      </c>
      <c r="E5" s="146" t="s">
        <v>14</v>
      </c>
      <c r="F5" s="147" t="s">
        <v>15</v>
      </c>
      <c r="G5" s="115" t="s">
        <v>14</v>
      </c>
      <c r="H5" s="41" t="s">
        <v>15</v>
      </c>
      <c r="I5" s="115" t="s">
        <v>232</v>
      </c>
      <c r="J5" s="41" t="s">
        <v>233</v>
      </c>
    </row>
    <row r="6" spans="1:10" s="40" customFormat="1" ht="18" customHeight="1">
      <c r="A6" s="148" t="s">
        <v>234</v>
      </c>
      <c r="B6" s="149"/>
      <c r="C6" s="150">
        <v>30000</v>
      </c>
      <c r="D6" s="151"/>
      <c r="E6" s="152"/>
      <c r="F6" s="152"/>
      <c r="G6" s="151"/>
      <c r="H6" s="151"/>
      <c r="I6" s="150">
        <v>30000</v>
      </c>
      <c r="J6" s="151"/>
    </row>
    <row r="7" spans="1:10" s="40" customFormat="1" ht="18" customHeight="1">
      <c r="A7" s="140" t="s">
        <v>235</v>
      </c>
      <c r="B7" s="149" t="s">
        <v>236</v>
      </c>
      <c r="C7" s="150">
        <v>161679.44</v>
      </c>
      <c r="D7" s="151"/>
      <c r="E7" s="152"/>
      <c r="F7" s="152"/>
      <c r="G7" s="151"/>
      <c r="H7" s="151"/>
      <c r="I7" s="150">
        <v>161679.44</v>
      </c>
      <c r="J7" s="151"/>
    </row>
    <row r="8" spans="1:10" s="40" customFormat="1" ht="18" customHeight="1">
      <c r="A8" s="140" t="s">
        <v>208</v>
      </c>
      <c r="B8" s="149" t="s">
        <v>236</v>
      </c>
      <c r="C8" s="150">
        <v>13043603.11</v>
      </c>
      <c r="D8" s="151"/>
      <c r="E8" s="152"/>
      <c r="F8" s="152"/>
      <c r="G8" s="151"/>
      <c r="H8" s="151"/>
      <c r="I8" s="150">
        <v>13043603.11</v>
      </c>
      <c r="J8" s="151"/>
    </row>
    <row r="9" spans="1:10" s="40" customFormat="1" ht="18" customHeight="1">
      <c r="A9" s="140" t="s">
        <v>237</v>
      </c>
      <c r="B9" s="149" t="s">
        <v>238</v>
      </c>
      <c r="C9" s="150">
        <v>44358457.93</v>
      </c>
      <c r="D9" s="151"/>
      <c r="E9" s="152"/>
      <c r="F9" s="152"/>
      <c r="G9" s="151"/>
      <c r="H9" s="151"/>
      <c r="I9" s="150">
        <v>44358457.93</v>
      </c>
      <c r="J9" s="151"/>
    </row>
    <row r="10" spans="1:10" s="40" customFormat="1" ht="18" customHeight="1">
      <c r="A10" s="148" t="s">
        <v>239</v>
      </c>
      <c r="B10" s="149" t="s">
        <v>240</v>
      </c>
      <c r="C10" s="150">
        <v>11012.86</v>
      </c>
      <c r="D10" s="151"/>
      <c r="E10" s="152"/>
      <c r="F10" s="152">
        <v>11012.86</v>
      </c>
      <c r="G10" s="151"/>
      <c r="H10" s="151"/>
      <c r="I10" s="150">
        <v>0</v>
      </c>
      <c r="J10" s="151"/>
    </row>
    <row r="11" spans="1:10" s="40" customFormat="1" ht="18" customHeight="1">
      <c r="A11" s="148" t="s">
        <v>241</v>
      </c>
      <c r="B11" s="149" t="s">
        <v>94</v>
      </c>
      <c r="C11" s="150"/>
      <c r="D11" s="151"/>
      <c r="E11" s="152">
        <v>450000</v>
      </c>
      <c r="F11" s="152"/>
      <c r="G11" s="151"/>
      <c r="H11" s="151"/>
      <c r="I11" s="152">
        <v>450000</v>
      </c>
      <c r="J11" s="151"/>
    </row>
    <row r="12" spans="1:10" s="40" customFormat="1" ht="18" customHeight="1">
      <c r="A12" s="148" t="s">
        <v>242</v>
      </c>
      <c r="B12" s="149" t="s">
        <v>243</v>
      </c>
      <c r="C12" s="150"/>
      <c r="D12" s="151"/>
      <c r="E12" s="152">
        <v>47250</v>
      </c>
      <c r="F12" s="152"/>
      <c r="G12" s="151"/>
      <c r="H12" s="151"/>
      <c r="I12" s="152">
        <v>47250</v>
      </c>
      <c r="J12" s="151"/>
    </row>
    <row r="13" spans="1:10" s="40" customFormat="1" ht="18" customHeight="1">
      <c r="A13" s="148" t="s">
        <v>244</v>
      </c>
      <c r="B13" s="149" t="s">
        <v>245</v>
      </c>
      <c r="C13" s="150"/>
      <c r="D13" s="151"/>
      <c r="E13" s="152">
        <v>23395.43</v>
      </c>
      <c r="F13" s="152"/>
      <c r="G13" s="151"/>
      <c r="H13" s="151"/>
      <c r="I13" s="152">
        <v>23395.43</v>
      </c>
      <c r="J13" s="151"/>
    </row>
    <row r="14" spans="1:10" s="40" customFormat="1" ht="18" customHeight="1">
      <c r="A14" s="148" t="s">
        <v>17</v>
      </c>
      <c r="B14" s="149" t="s">
        <v>132</v>
      </c>
      <c r="C14" s="150">
        <v>739899.25</v>
      </c>
      <c r="D14" s="151"/>
      <c r="E14" s="152"/>
      <c r="F14" s="152"/>
      <c r="G14" s="151"/>
      <c r="H14" s="150">
        <v>739899.25</v>
      </c>
      <c r="I14" s="153"/>
      <c r="J14" s="151"/>
    </row>
    <row r="15" spans="1:10" s="40" customFormat="1" ht="18" customHeight="1">
      <c r="A15" s="148" t="s">
        <v>246</v>
      </c>
      <c r="B15" s="149" t="s">
        <v>247</v>
      </c>
      <c r="C15" s="150">
        <v>137793</v>
      </c>
      <c r="D15" s="151"/>
      <c r="E15" s="152"/>
      <c r="F15" s="152"/>
      <c r="G15" s="151"/>
      <c r="H15" s="150">
        <v>137793</v>
      </c>
      <c r="I15" s="153"/>
      <c r="J15" s="151"/>
    </row>
    <row r="16" spans="1:10" s="40" customFormat="1" ht="18" customHeight="1">
      <c r="A16" s="148" t="s">
        <v>248</v>
      </c>
      <c r="B16" s="149" t="s">
        <v>147</v>
      </c>
      <c r="C16" s="150">
        <v>1692317</v>
      </c>
      <c r="D16" s="151"/>
      <c r="E16" s="152"/>
      <c r="F16" s="152"/>
      <c r="G16" s="151"/>
      <c r="H16" s="150">
        <v>1692317</v>
      </c>
      <c r="I16" s="153"/>
      <c r="J16" s="151"/>
    </row>
    <row r="17" spans="1:10" s="40" customFormat="1" ht="18" customHeight="1">
      <c r="A17" s="148" t="s">
        <v>249</v>
      </c>
      <c r="B17" s="149" t="s">
        <v>149</v>
      </c>
      <c r="C17" s="150">
        <v>12109882</v>
      </c>
      <c r="D17" s="151"/>
      <c r="E17" s="152"/>
      <c r="F17" s="152"/>
      <c r="G17" s="151"/>
      <c r="H17" s="150">
        <v>12109882</v>
      </c>
      <c r="I17" s="153"/>
      <c r="J17" s="151"/>
    </row>
    <row r="18" spans="1:10" s="40" customFormat="1" ht="18" customHeight="1">
      <c r="A18" s="148" t="s">
        <v>18</v>
      </c>
      <c r="B18" s="149" t="s">
        <v>2</v>
      </c>
      <c r="C18" s="150">
        <v>2511296</v>
      </c>
      <c r="D18" s="151"/>
      <c r="E18" s="152"/>
      <c r="F18" s="152"/>
      <c r="G18" s="151"/>
      <c r="H18" s="150">
        <v>2511296</v>
      </c>
      <c r="I18" s="151"/>
      <c r="J18" s="151"/>
    </row>
    <row r="19" spans="1:10" s="40" customFormat="1" ht="18" customHeight="1">
      <c r="A19" s="148" t="s">
        <v>19</v>
      </c>
      <c r="B19" s="149" t="s">
        <v>3</v>
      </c>
      <c r="C19" s="150">
        <v>6216415.37</v>
      </c>
      <c r="D19" s="151"/>
      <c r="E19" s="152"/>
      <c r="F19" s="152"/>
      <c r="G19" s="151"/>
      <c r="H19" s="150">
        <v>6216415.37</v>
      </c>
      <c r="I19" s="151"/>
      <c r="J19" s="151"/>
    </row>
    <row r="20" spans="1:10" s="40" customFormat="1" ht="18" customHeight="1">
      <c r="A20" s="148" t="s">
        <v>20</v>
      </c>
      <c r="B20" s="149" t="s">
        <v>4</v>
      </c>
      <c r="C20" s="150">
        <v>5963832.95</v>
      </c>
      <c r="D20" s="151"/>
      <c r="E20" s="152"/>
      <c r="F20" s="152"/>
      <c r="G20" s="151"/>
      <c r="H20" s="150">
        <v>5963832.95</v>
      </c>
      <c r="I20" s="151"/>
      <c r="J20" s="151"/>
    </row>
    <row r="21" spans="1:10" s="40" customFormat="1" ht="18" customHeight="1">
      <c r="A21" s="148" t="s">
        <v>21</v>
      </c>
      <c r="B21" s="149" t="s">
        <v>5</v>
      </c>
      <c r="C21" s="150">
        <v>972474.34</v>
      </c>
      <c r="D21" s="151"/>
      <c r="E21" s="152"/>
      <c r="F21" s="152"/>
      <c r="G21" s="151"/>
      <c r="H21" s="150">
        <v>972474.34</v>
      </c>
      <c r="I21" s="151"/>
      <c r="J21" s="151"/>
    </row>
    <row r="22" spans="1:10" s="40" customFormat="1" ht="18" customHeight="1">
      <c r="A22" s="148" t="s">
        <v>22</v>
      </c>
      <c r="B22" s="149" t="s">
        <v>7</v>
      </c>
      <c r="C22" s="150">
        <v>9808832</v>
      </c>
      <c r="D22" s="151"/>
      <c r="E22" s="152"/>
      <c r="F22" s="152"/>
      <c r="G22" s="151"/>
      <c r="H22" s="150">
        <v>9808832</v>
      </c>
      <c r="I22" s="151"/>
      <c r="J22" s="151"/>
    </row>
    <row r="23" spans="1:10" s="40" customFormat="1" ht="18" customHeight="1">
      <c r="A23" s="148" t="s">
        <v>23</v>
      </c>
      <c r="B23" s="149" t="s">
        <v>8</v>
      </c>
      <c r="C23" s="150">
        <v>1598658.75</v>
      </c>
      <c r="D23" s="151"/>
      <c r="E23" s="152"/>
      <c r="F23" s="152"/>
      <c r="G23" s="151"/>
      <c r="H23" s="150">
        <v>1598658.75</v>
      </c>
      <c r="I23" s="151"/>
      <c r="J23" s="151"/>
    </row>
    <row r="24" spans="1:10" s="40" customFormat="1" ht="18" customHeight="1">
      <c r="A24" s="148" t="s">
        <v>24</v>
      </c>
      <c r="B24" s="149" t="s">
        <v>133</v>
      </c>
      <c r="C24" s="150">
        <v>85000</v>
      </c>
      <c r="D24" s="151"/>
      <c r="E24" s="152"/>
      <c r="F24" s="152"/>
      <c r="G24" s="151"/>
      <c r="H24" s="150">
        <v>85000</v>
      </c>
      <c r="I24" s="151"/>
      <c r="J24" s="151"/>
    </row>
    <row r="25" spans="1:10" s="40" customFormat="1" ht="18" customHeight="1">
      <c r="A25" s="148" t="s">
        <v>250</v>
      </c>
      <c r="B25" s="149" t="s">
        <v>6</v>
      </c>
      <c r="C25" s="150">
        <v>9920368.39</v>
      </c>
      <c r="D25" s="151"/>
      <c r="E25" s="152"/>
      <c r="F25" s="152"/>
      <c r="G25" s="151"/>
      <c r="H25" s="150">
        <v>9920368.39</v>
      </c>
      <c r="I25" s="151"/>
      <c r="J25" s="151"/>
    </row>
    <row r="26" spans="1:10" s="40" customFormat="1" ht="18" customHeight="1">
      <c r="A26" s="148" t="s">
        <v>251</v>
      </c>
      <c r="B26" s="149" t="s">
        <v>12</v>
      </c>
      <c r="C26" s="150">
        <v>6757800</v>
      </c>
      <c r="D26" s="151"/>
      <c r="E26" s="152"/>
      <c r="F26" s="152"/>
      <c r="G26" s="151"/>
      <c r="H26" s="150">
        <v>6757800</v>
      </c>
      <c r="I26" s="151"/>
      <c r="J26" s="151"/>
    </row>
    <row r="27" spans="1:10" s="40" customFormat="1" ht="18" customHeight="1">
      <c r="A27" s="148" t="s">
        <v>252</v>
      </c>
      <c r="B27" s="149" t="s">
        <v>12</v>
      </c>
      <c r="C27" s="150">
        <v>1000800</v>
      </c>
      <c r="D27" s="151"/>
      <c r="E27" s="152"/>
      <c r="F27" s="152"/>
      <c r="G27" s="151"/>
      <c r="H27" s="150">
        <v>1000800</v>
      </c>
      <c r="I27" s="151"/>
      <c r="J27" s="151"/>
    </row>
    <row r="28" spans="1:10" s="40" customFormat="1" ht="18" customHeight="1">
      <c r="A28" s="148" t="s">
        <v>253</v>
      </c>
      <c r="B28" s="149" t="s">
        <v>12</v>
      </c>
      <c r="C28" s="150">
        <v>776719.98</v>
      </c>
      <c r="D28" s="151"/>
      <c r="E28" s="152"/>
      <c r="F28" s="152"/>
      <c r="G28" s="151"/>
      <c r="H28" s="150">
        <v>776719.98</v>
      </c>
      <c r="I28" s="151"/>
      <c r="J28" s="151"/>
    </row>
    <row r="29" spans="1:10" s="40" customFormat="1" ht="18" customHeight="1">
      <c r="A29" s="148" t="s">
        <v>254</v>
      </c>
      <c r="B29" s="149" t="s">
        <v>12</v>
      </c>
      <c r="C29" s="150">
        <v>1045718</v>
      </c>
      <c r="D29" s="151"/>
      <c r="E29" s="152"/>
      <c r="F29" s="152"/>
      <c r="G29" s="151"/>
      <c r="H29" s="150">
        <v>1045718</v>
      </c>
      <c r="I29" s="151"/>
      <c r="J29" s="151"/>
    </row>
    <row r="30" spans="1:10" s="40" customFormat="1" ht="18" customHeight="1">
      <c r="A30" s="148" t="s">
        <v>255</v>
      </c>
      <c r="B30" s="149" t="s">
        <v>12</v>
      </c>
      <c r="C30" s="150">
        <v>347300</v>
      </c>
      <c r="D30" s="151"/>
      <c r="E30" s="152"/>
      <c r="F30" s="152"/>
      <c r="G30" s="151"/>
      <c r="H30" s="150">
        <v>347300</v>
      </c>
      <c r="I30" s="151"/>
      <c r="J30" s="151"/>
    </row>
    <row r="31" spans="1:10" s="40" customFormat="1" ht="18" customHeight="1">
      <c r="A31" s="148" t="s">
        <v>256</v>
      </c>
      <c r="B31" s="149" t="s">
        <v>12</v>
      </c>
      <c r="C31" s="150">
        <v>9070.85</v>
      </c>
      <c r="D31" s="151"/>
      <c r="E31" s="152"/>
      <c r="F31" s="152"/>
      <c r="G31" s="151"/>
      <c r="H31" s="150">
        <v>9070.85</v>
      </c>
      <c r="I31" s="151"/>
      <c r="J31" s="151"/>
    </row>
    <row r="32" spans="1:10" s="40" customFormat="1" ht="18" customHeight="1">
      <c r="A32" s="148" t="s">
        <v>257</v>
      </c>
      <c r="B32" s="149" t="s">
        <v>12</v>
      </c>
      <c r="C32" s="150">
        <v>35000</v>
      </c>
      <c r="D32" s="151"/>
      <c r="E32" s="152"/>
      <c r="F32" s="152"/>
      <c r="G32" s="151"/>
      <c r="H32" s="150">
        <v>35000</v>
      </c>
      <c r="I32" s="151"/>
      <c r="J32" s="151"/>
    </row>
    <row r="33" spans="1:10" s="40" customFormat="1" ht="18" customHeight="1">
      <c r="A33" s="154" t="s">
        <v>258</v>
      </c>
      <c r="B33" s="149" t="s">
        <v>12</v>
      </c>
      <c r="C33" s="150">
        <v>880000</v>
      </c>
      <c r="D33" s="151"/>
      <c r="E33" s="152"/>
      <c r="F33" s="152"/>
      <c r="G33" s="151"/>
      <c r="H33" s="150">
        <v>880000</v>
      </c>
      <c r="I33" s="151"/>
      <c r="J33" s="151"/>
    </row>
    <row r="34" spans="1:10" s="40" customFormat="1" ht="18" customHeight="1">
      <c r="A34" s="151" t="s">
        <v>259</v>
      </c>
      <c r="B34" s="155">
        <v>400000</v>
      </c>
      <c r="C34" s="151"/>
      <c r="D34" s="151">
        <v>66821845.67</v>
      </c>
      <c r="E34" s="152">
        <f>47250+23395.43</f>
        <v>70645.43</v>
      </c>
      <c r="F34" s="152">
        <f>47250+23395.43</f>
        <v>70645.43</v>
      </c>
      <c r="G34" s="151">
        <f>+D34</f>
        <v>66821845.67</v>
      </c>
      <c r="H34" s="151"/>
      <c r="I34" s="151"/>
      <c r="J34" s="152"/>
    </row>
    <row r="35" spans="1:10" s="40" customFormat="1" ht="18" customHeight="1">
      <c r="A35" s="156" t="s">
        <v>260</v>
      </c>
      <c r="B35" s="157">
        <v>230100</v>
      </c>
      <c r="C35" s="156"/>
      <c r="D35" s="156">
        <v>2585857.13</v>
      </c>
      <c r="E35" s="158"/>
      <c r="F35" s="158">
        <v>450000</v>
      </c>
      <c r="G35" s="158"/>
      <c r="H35" s="156"/>
      <c r="I35" s="156"/>
      <c r="J35" s="158">
        <v>3035857.13</v>
      </c>
    </row>
    <row r="36" spans="1:10" s="40" customFormat="1" ht="18" customHeight="1">
      <c r="A36" s="151" t="s">
        <v>261</v>
      </c>
      <c r="B36" s="159" t="s">
        <v>94</v>
      </c>
      <c r="C36" s="151"/>
      <c r="D36" s="151">
        <v>1680500</v>
      </c>
      <c r="E36" s="152"/>
      <c r="F36" s="152"/>
      <c r="G36" s="151"/>
      <c r="H36" s="151"/>
      <c r="I36" s="151"/>
      <c r="J36" s="152">
        <v>1680500</v>
      </c>
    </row>
    <row r="37" spans="1:10" s="40" customFormat="1" ht="18" customHeight="1">
      <c r="A37" s="151" t="s">
        <v>151</v>
      </c>
      <c r="B37" s="155">
        <v>210400</v>
      </c>
      <c r="C37" s="151"/>
      <c r="D37" s="151">
        <v>10005728</v>
      </c>
      <c r="E37" s="152"/>
      <c r="F37" s="152"/>
      <c r="G37" s="151"/>
      <c r="H37" s="151"/>
      <c r="I37" s="151"/>
      <c r="J37" s="152">
        <v>10005728</v>
      </c>
    </row>
    <row r="38" spans="1:10" s="40" customFormat="1" ht="18" customHeight="1">
      <c r="A38" s="151" t="s">
        <v>118</v>
      </c>
      <c r="B38" s="155">
        <v>310000</v>
      </c>
      <c r="C38" s="151"/>
      <c r="D38" s="151">
        <v>18669193.53</v>
      </c>
      <c r="E38" s="152">
        <v>11012.86</v>
      </c>
      <c r="F38" s="152">
        <f>47250+23395.43</f>
        <v>70645.43</v>
      </c>
      <c r="G38" s="151"/>
      <c r="H38" s="151">
        <v>3131886.48</v>
      </c>
      <c r="I38" s="151"/>
      <c r="J38" s="152">
        <v>21860712.58</v>
      </c>
    </row>
    <row r="39" spans="1:10" s="40" customFormat="1" ht="18" customHeight="1">
      <c r="A39" s="151" t="s">
        <v>139</v>
      </c>
      <c r="B39" s="159">
        <v>320000</v>
      </c>
      <c r="C39" s="160"/>
      <c r="D39" s="151">
        <v>20450806.89</v>
      </c>
      <c r="E39" s="161"/>
      <c r="F39" s="152"/>
      <c r="G39" s="160"/>
      <c r="H39" s="151">
        <v>1043962.16</v>
      </c>
      <c r="I39" s="160"/>
      <c r="J39" s="162">
        <v>21494769.05</v>
      </c>
    </row>
    <row r="40" spans="1:10" s="40" customFormat="1" ht="18" customHeight="1">
      <c r="A40" s="163" t="s">
        <v>262</v>
      </c>
      <c r="B40" s="164">
        <v>441000</v>
      </c>
      <c r="C40" s="163"/>
      <c r="D40" s="163"/>
      <c r="E40" s="165"/>
      <c r="F40" s="165"/>
      <c r="G40" s="163"/>
      <c r="H40" s="163">
        <v>36819.15</v>
      </c>
      <c r="I40" s="163"/>
      <c r="J40" s="163">
        <v>36819.15</v>
      </c>
    </row>
    <row r="41" spans="1:12" s="40" customFormat="1" ht="18" customHeight="1">
      <c r="A41" s="166" t="s">
        <v>117</v>
      </c>
      <c r="B41" s="167"/>
      <c r="C41" s="59">
        <f aca="true" t="shared" si="0" ref="C41:I41">SUM(C6:C40)</f>
        <v>120213931.22000001</v>
      </c>
      <c r="D41" s="59">
        <f t="shared" si="0"/>
        <v>120213931.22</v>
      </c>
      <c r="E41" s="168">
        <f t="shared" si="0"/>
        <v>602303.72</v>
      </c>
      <c r="F41" s="168">
        <f t="shared" si="0"/>
        <v>602303.72</v>
      </c>
      <c r="G41" s="59">
        <f t="shared" si="0"/>
        <v>66821845.67</v>
      </c>
      <c r="H41" s="59">
        <f t="shared" si="0"/>
        <v>66821845.66999999</v>
      </c>
      <c r="I41" s="59">
        <f t="shared" si="0"/>
        <v>58114385.91</v>
      </c>
      <c r="J41" s="59">
        <f>SUM(J35:J40)</f>
        <v>58114385.90999999</v>
      </c>
      <c r="K41" s="57"/>
      <c r="L41" s="58"/>
    </row>
    <row r="42" spans="1:12" s="52" customFormat="1" ht="18" customHeight="1">
      <c r="A42" s="36"/>
      <c r="B42" s="169"/>
      <c r="C42" s="51"/>
      <c r="D42" s="51"/>
      <c r="E42" s="170"/>
      <c r="F42" s="170"/>
      <c r="G42" s="51"/>
      <c r="H42" s="51"/>
      <c r="I42" s="51"/>
      <c r="J42" s="51"/>
      <c r="K42" s="53"/>
      <c r="L42" s="171"/>
    </row>
    <row r="43" spans="1:10" s="56" customFormat="1" ht="18" customHeight="1">
      <c r="A43" s="172" t="s">
        <v>190</v>
      </c>
      <c r="C43" s="56" t="s">
        <v>191</v>
      </c>
      <c r="D43" s="173"/>
      <c r="E43" s="779" t="s">
        <v>191</v>
      </c>
      <c r="F43" s="779"/>
      <c r="G43" s="788" t="s">
        <v>198</v>
      </c>
      <c r="H43" s="788"/>
      <c r="I43" s="779" t="s">
        <v>198</v>
      </c>
      <c r="J43" s="779"/>
    </row>
    <row r="44" spans="1:7" s="56" customFormat="1" ht="18" customHeight="1">
      <c r="A44" s="172"/>
      <c r="F44" s="174"/>
      <c r="G44" s="174"/>
    </row>
    <row r="45" spans="1:10" s="56" customFormat="1" ht="18" customHeight="1">
      <c r="A45" s="172" t="s">
        <v>192</v>
      </c>
      <c r="C45" s="56" t="s">
        <v>193</v>
      </c>
      <c r="E45" s="786" t="s">
        <v>194</v>
      </c>
      <c r="F45" s="786"/>
      <c r="G45" s="787" t="s">
        <v>263</v>
      </c>
      <c r="H45" s="787"/>
      <c r="I45" s="787" t="s">
        <v>200</v>
      </c>
      <c r="J45" s="787"/>
    </row>
    <row r="46" spans="1:10" s="56" customFormat="1" ht="18" customHeight="1">
      <c r="A46" s="172" t="s">
        <v>195</v>
      </c>
      <c r="C46" s="56" t="s">
        <v>196</v>
      </c>
      <c r="E46" s="786" t="s">
        <v>197</v>
      </c>
      <c r="F46" s="786"/>
      <c r="G46" s="787" t="s">
        <v>264</v>
      </c>
      <c r="H46" s="787"/>
      <c r="I46" s="787" t="s">
        <v>265</v>
      </c>
      <c r="J46" s="787"/>
    </row>
    <row r="47" spans="1:9" s="40" customFormat="1" ht="18" customHeight="1">
      <c r="A47" s="49"/>
      <c r="B47" s="56"/>
      <c r="E47" s="175"/>
      <c r="F47" s="175"/>
      <c r="I47" s="56"/>
    </row>
    <row r="48" spans="1:6" s="40" customFormat="1" ht="18" customHeight="1">
      <c r="A48" s="49"/>
      <c r="B48" s="56"/>
      <c r="E48" s="175"/>
      <c r="F48" s="175"/>
    </row>
    <row r="49" spans="1:6" s="40" customFormat="1" ht="18" customHeight="1">
      <c r="A49" s="49"/>
      <c r="B49" s="56"/>
      <c r="E49" s="175"/>
      <c r="F49" s="175"/>
    </row>
    <row r="50" ht="18" customHeight="1">
      <c r="D50" s="45"/>
    </row>
    <row r="51" ht="18" customHeight="1">
      <c r="D51" s="45"/>
    </row>
  </sheetData>
  <sheetProtection/>
  <mergeCells count="21">
    <mergeCell ref="G45:H45"/>
    <mergeCell ref="G4:H4"/>
    <mergeCell ref="G3:H3"/>
    <mergeCell ref="C4:D4"/>
    <mergeCell ref="E46:F46"/>
    <mergeCell ref="G46:H46"/>
    <mergeCell ref="I46:J46"/>
    <mergeCell ref="E43:F43"/>
    <mergeCell ref="G43:H43"/>
    <mergeCell ref="E45:F45"/>
    <mergeCell ref="I45:J45"/>
    <mergeCell ref="E3:F3"/>
    <mergeCell ref="I3:J3"/>
    <mergeCell ref="I4:J4"/>
    <mergeCell ref="E4:F4"/>
    <mergeCell ref="I43:J43"/>
    <mergeCell ref="A1:J1"/>
    <mergeCell ref="A2:J2"/>
    <mergeCell ref="A3:A5"/>
    <mergeCell ref="B3:B5"/>
    <mergeCell ref="C3:D3"/>
  </mergeCells>
  <printOptions/>
  <pageMargins left="0.3937007874015748" right="0.3937007874015748" top="0.2755905511811024" bottom="0.1968503937007874" header="0.15748031496062992" footer="0.15748031496062992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view="pageBreakPreview" zoomScaleSheetLayoutView="100" zoomScalePageLayoutView="0" workbookViewId="0" topLeftCell="A109">
      <selection activeCell="E118" sqref="E118"/>
    </sheetView>
  </sheetViews>
  <sheetFormatPr defaultColWidth="8.140625" defaultRowHeight="12.75"/>
  <cols>
    <col min="1" max="1" width="46.7109375" style="215" customWidth="1"/>
    <col min="2" max="2" width="8.57421875" style="215" customWidth="1"/>
    <col min="3" max="3" width="15.140625" style="215" customWidth="1"/>
    <col min="4" max="4" width="12.7109375" style="215" hidden="1" customWidth="1"/>
    <col min="5" max="5" width="15.28125" style="127" customWidth="1"/>
    <col min="6" max="6" width="15.00390625" style="215" customWidth="1"/>
    <col min="7" max="16384" width="8.140625" style="215" customWidth="1"/>
  </cols>
  <sheetData>
    <row r="1" spans="1:6" ht="21">
      <c r="A1" s="628" t="s">
        <v>551</v>
      </c>
      <c r="B1" s="628"/>
      <c r="C1" s="628"/>
      <c r="D1" s="628"/>
      <c r="E1" s="628"/>
      <c r="F1" s="628"/>
    </row>
    <row r="2" spans="1:6" ht="21">
      <c r="A2" s="628" t="s">
        <v>650</v>
      </c>
      <c r="B2" s="628"/>
      <c r="C2" s="628"/>
      <c r="D2" s="628"/>
      <c r="E2" s="628"/>
      <c r="F2" s="628"/>
    </row>
    <row r="3" spans="1:6" ht="21">
      <c r="A3" s="629" t="str">
        <f>+'[1]งบทดลอง'!A3</f>
        <v>ณ  วันที่  30 กันยายน  2560</v>
      </c>
      <c r="B3" s="629"/>
      <c r="C3" s="629"/>
      <c r="D3" s="629"/>
      <c r="E3" s="629"/>
      <c r="F3" s="629"/>
    </row>
    <row r="4" spans="1:6" ht="22.5" customHeight="1">
      <c r="A4" s="630" t="s">
        <v>130</v>
      </c>
      <c r="B4" s="634" t="s">
        <v>552</v>
      </c>
      <c r="C4" s="632" t="s">
        <v>123</v>
      </c>
      <c r="D4" s="632" t="s">
        <v>553</v>
      </c>
      <c r="E4" s="635" t="s">
        <v>554</v>
      </c>
      <c r="F4" s="504" t="s">
        <v>555</v>
      </c>
    </row>
    <row r="5" spans="1:6" ht="22.5" customHeight="1">
      <c r="A5" s="631"/>
      <c r="B5" s="631"/>
      <c r="C5" s="633"/>
      <c r="D5" s="633"/>
      <c r="E5" s="636"/>
      <c r="F5" s="505" t="s">
        <v>556</v>
      </c>
    </row>
    <row r="6" spans="1:6" ht="21.75" customHeight="1">
      <c r="A6" s="506" t="s">
        <v>557</v>
      </c>
      <c r="B6" s="507"/>
      <c r="C6" s="508"/>
      <c r="D6" s="508"/>
      <c r="E6" s="398"/>
      <c r="F6" s="509"/>
    </row>
    <row r="7" spans="1:6" ht="21.75" customHeight="1">
      <c r="A7" s="510" t="s">
        <v>558</v>
      </c>
      <c r="B7" s="511"/>
      <c r="C7" s="509"/>
      <c r="D7" s="509"/>
      <c r="E7" s="398"/>
      <c r="F7" s="509"/>
    </row>
    <row r="8" spans="1:6" ht="21.75" customHeight="1">
      <c r="A8" s="398" t="s">
        <v>559</v>
      </c>
      <c r="B8" s="511" t="s">
        <v>560</v>
      </c>
      <c r="C8" s="398">
        <v>6585400</v>
      </c>
      <c r="D8" s="398">
        <f>18947</f>
        <v>18947</v>
      </c>
      <c r="E8" s="398">
        <f>+D8+6733577.88+75870</f>
        <v>6828394.88</v>
      </c>
      <c r="F8" s="512">
        <f>E8-C8</f>
        <v>242994.8799999999</v>
      </c>
    </row>
    <row r="9" spans="1:6" ht="21.75" customHeight="1">
      <c r="A9" s="398" t="s">
        <v>561</v>
      </c>
      <c r="B9" s="511" t="s">
        <v>562</v>
      </c>
      <c r="C9" s="398">
        <v>350000</v>
      </c>
      <c r="D9" s="398">
        <f>2929.88</f>
        <v>2929.88</v>
      </c>
      <c r="E9" s="398">
        <f>+D9+270551.99+9173.23</f>
        <v>282655.1</v>
      </c>
      <c r="F9" s="512">
        <f>E9-C9</f>
        <v>-67344.90000000002</v>
      </c>
    </row>
    <row r="10" spans="1:6" ht="21.75" customHeight="1">
      <c r="A10" s="398" t="s">
        <v>563</v>
      </c>
      <c r="B10" s="511" t="s">
        <v>564</v>
      </c>
      <c r="C10" s="398">
        <v>980000</v>
      </c>
      <c r="D10" s="398">
        <v>20593</v>
      </c>
      <c r="E10" s="398">
        <f>+D10+1170082</f>
        <v>1190675</v>
      </c>
      <c r="F10" s="512">
        <f>E10-C10</f>
        <v>210675</v>
      </c>
    </row>
    <row r="11" spans="1:6" s="236" customFormat="1" ht="21.75" customHeight="1">
      <c r="A11" s="404" t="s">
        <v>117</v>
      </c>
      <c r="B11" s="513"/>
      <c r="C11" s="514">
        <f>SUM(C8:C10)</f>
        <v>7915400</v>
      </c>
      <c r="D11" s="514">
        <f>SUM(D8:D10)</f>
        <v>42469.880000000005</v>
      </c>
      <c r="E11" s="514">
        <f>SUM(E8:E10)</f>
        <v>8301724.9799999995</v>
      </c>
      <c r="F11" s="514">
        <f>SUM(F8:F10)</f>
        <v>386324.97999999986</v>
      </c>
    </row>
    <row r="12" spans="1:6" ht="21.75" customHeight="1">
      <c r="A12" s="510" t="s">
        <v>565</v>
      </c>
      <c r="B12" s="511"/>
      <c r="C12" s="398"/>
      <c r="D12" s="398"/>
      <c r="E12" s="398"/>
      <c r="F12" s="398"/>
    </row>
    <row r="13" spans="1:6" ht="21.75" customHeight="1">
      <c r="A13" s="515" t="s">
        <v>566</v>
      </c>
      <c r="B13" s="511" t="s">
        <v>567</v>
      </c>
      <c r="C13" s="398">
        <v>5000</v>
      </c>
      <c r="D13" s="398">
        <v>155.2</v>
      </c>
      <c r="E13" s="398">
        <f>+D13+4908.2</f>
        <v>5063.4</v>
      </c>
      <c r="F13" s="512">
        <f aca="true" t="shared" si="0" ref="F13:F26">E13-C13</f>
        <v>63.399999999999636</v>
      </c>
    </row>
    <row r="14" spans="1:6" ht="21.75" customHeight="1">
      <c r="A14" s="515" t="s">
        <v>568</v>
      </c>
      <c r="B14" s="511" t="s">
        <v>569</v>
      </c>
      <c r="C14" s="398">
        <v>254000</v>
      </c>
      <c r="D14" s="398">
        <v>174.6</v>
      </c>
      <c r="E14" s="398">
        <f>+D14+27637.2</f>
        <v>27811.8</v>
      </c>
      <c r="F14" s="512">
        <f t="shared" si="0"/>
        <v>-226188.2</v>
      </c>
    </row>
    <row r="15" spans="1:6" ht="21.75" customHeight="1">
      <c r="A15" s="515" t="s">
        <v>570</v>
      </c>
      <c r="B15" s="511" t="s">
        <v>571</v>
      </c>
      <c r="C15" s="398">
        <v>1712500</v>
      </c>
      <c r="D15" s="398">
        <v>151380</v>
      </c>
      <c r="E15" s="398">
        <f>+D15+1585920</f>
        <v>1737300</v>
      </c>
      <c r="F15" s="512">
        <f t="shared" si="0"/>
        <v>24800</v>
      </c>
    </row>
    <row r="16" spans="1:6" ht="21.75" customHeight="1">
      <c r="A16" s="398" t="s">
        <v>572</v>
      </c>
      <c r="B16" s="511" t="s">
        <v>573</v>
      </c>
      <c r="C16" s="398">
        <v>65000</v>
      </c>
      <c r="D16" s="398">
        <v>0</v>
      </c>
      <c r="E16" s="398">
        <f>+D16</f>
        <v>0</v>
      </c>
      <c r="F16" s="512">
        <f t="shared" si="0"/>
        <v>-65000</v>
      </c>
    </row>
    <row r="17" spans="1:6" ht="21.75" customHeight="1">
      <c r="A17" s="398" t="s">
        <v>574</v>
      </c>
      <c r="B17" s="511" t="s">
        <v>575</v>
      </c>
      <c r="C17" s="398">
        <v>4000</v>
      </c>
      <c r="D17" s="398">
        <v>0</v>
      </c>
      <c r="E17" s="398">
        <v>3200</v>
      </c>
      <c r="F17" s="512">
        <f t="shared" si="0"/>
        <v>-800</v>
      </c>
    </row>
    <row r="18" spans="1:6" ht="21.75" customHeight="1">
      <c r="A18" s="398" t="s">
        <v>576</v>
      </c>
      <c r="B18" s="511" t="s">
        <v>577</v>
      </c>
      <c r="C18" s="398">
        <v>100</v>
      </c>
      <c r="D18" s="398">
        <v>20</v>
      </c>
      <c r="E18" s="398">
        <f>+D18+150</f>
        <v>170</v>
      </c>
      <c r="F18" s="512">
        <f t="shared" si="0"/>
        <v>70</v>
      </c>
    </row>
    <row r="19" spans="1:6" ht="21.75" customHeight="1">
      <c r="A19" s="398" t="s">
        <v>578</v>
      </c>
      <c r="B19" s="511" t="s">
        <v>579</v>
      </c>
      <c r="C19" s="398">
        <v>2000</v>
      </c>
      <c r="D19" s="398">
        <v>380</v>
      </c>
      <c r="E19" s="398">
        <f>+D19+2800</f>
        <v>3180</v>
      </c>
      <c r="F19" s="512">
        <f t="shared" si="0"/>
        <v>1180</v>
      </c>
    </row>
    <row r="20" spans="1:6" ht="21.75" customHeight="1">
      <c r="A20" s="398" t="s">
        <v>580</v>
      </c>
      <c r="B20" s="511" t="s">
        <v>581</v>
      </c>
      <c r="C20" s="398">
        <v>25000</v>
      </c>
      <c r="D20" s="398">
        <v>580</v>
      </c>
      <c r="E20" s="398">
        <f>+D20+15500</f>
        <v>16080</v>
      </c>
      <c r="F20" s="512">
        <f t="shared" si="0"/>
        <v>-8920</v>
      </c>
    </row>
    <row r="21" spans="1:6" ht="21.75" customHeight="1">
      <c r="A21" s="398" t="s">
        <v>582</v>
      </c>
      <c r="B21" s="511" t="s">
        <v>583</v>
      </c>
      <c r="C21" s="398">
        <v>250000</v>
      </c>
      <c r="D21" s="398">
        <v>0</v>
      </c>
      <c r="E21" s="398">
        <v>182250</v>
      </c>
      <c r="F21" s="512">
        <f t="shared" si="0"/>
        <v>-67750</v>
      </c>
    </row>
    <row r="22" spans="1:6" ht="21.75" customHeight="1">
      <c r="A22" s="398" t="s">
        <v>584</v>
      </c>
      <c r="B22" s="511" t="s">
        <v>585</v>
      </c>
      <c r="C22" s="398">
        <v>250000</v>
      </c>
      <c r="D22" s="398">
        <v>6700</v>
      </c>
      <c r="E22" s="398">
        <f>+D22+201990</f>
        <v>208690</v>
      </c>
      <c r="F22" s="512">
        <f t="shared" si="0"/>
        <v>-41310</v>
      </c>
    </row>
    <row r="23" spans="1:6" ht="21.75" customHeight="1">
      <c r="A23" s="398" t="s">
        <v>586</v>
      </c>
      <c r="B23" s="511" t="s">
        <v>587</v>
      </c>
      <c r="C23" s="398">
        <v>20000</v>
      </c>
      <c r="D23" s="398">
        <v>0</v>
      </c>
      <c r="E23" s="398">
        <v>10200</v>
      </c>
      <c r="F23" s="512">
        <f t="shared" si="0"/>
        <v>-9800</v>
      </c>
    </row>
    <row r="24" spans="1:6" ht="21.75" customHeight="1">
      <c r="A24" s="398" t="s">
        <v>588</v>
      </c>
      <c r="B24" s="511" t="s">
        <v>589</v>
      </c>
      <c r="C24" s="398">
        <v>2000</v>
      </c>
      <c r="D24" s="398">
        <v>0</v>
      </c>
      <c r="E24" s="398">
        <f>+D24</f>
        <v>0</v>
      </c>
      <c r="F24" s="512">
        <f t="shared" si="0"/>
        <v>-2000</v>
      </c>
    </row>
    <row r="25" spans="1:6" ht="21.75" customHeight="1">
      <c r="A25" s="398" t="s">
        <v>590</v>
      </c>
      <c r="B25" s="511" t="s">
        <v>591</v>
      </c>
      <c r="C25" s="398">
        <v>20000</v>
      </c>
      <c r="D25" s="398">
        <v>140</v>
      </c>
      <c r="E25" s="398">
        <f>+D25+2730</f>
        <v>2870</v>
      </c>
      <c r="F25" s="512">
        <f t="shared" si="0"/>
        <v>-17130</v>
      </c>
    </row>
    <row r="26" spans="1:6" ht="21.75" customHeight="1">
      <c r="A26" s="398" t="s">
        <v>592</v>
      </c>
      <c r="B26" s="511" t="s">
        <v>593</v>
      </c>
      <c r="C26" s="398">
        <v>1500</v>
      </c>
      <c r="D26" s="398">
        <v>0</v>
      </c>
      <c r="E26" s="398">
        <f>+D26</f>
        <v>0</v>
      </c>
      <c r="F26" s="512">
        <f t="shared" si="0"/>
        <v>-1500</v>
      </c>
    </row>
    <row r="27" spans="1:6" s="236" customFormat="1" ht="21.75" customHeight="1">
      <c r="A27" s="404" t="s">
        <v>117</v>
      </c>
      <c r="B27" s="513"/>
      <c r="C27" s="514">
        <f>SUM(C13:C26)</f>
        <v>2611100</v>
      </c>
      <c r="D27" s="514">
        <f>SUM(D13:D26)</f>
        <v>159529.8</v>
      </c>
      <c r="E27" s="514">
        <f>SUM(E13:E26)</f>
        <v>2196815.2</v>
      </c>
      <c r="F27" s="514">
        <f>SUM(F13:F26)</f>
        <v>-414284.80000000005</v>
      </c>
    </row>
    <row r="28" spans="1:6" ht="21.75" customHeight="1">
      <c r="A28" s="510" t="s">
        <v>594</v>
      </c>
      <c r="B28" s="511"/>
      <c r="C28" s="398"/>
      <c r="D28" s="398"/>
      <c r="E28" s="398"/>
      <c r="F28" s="398"/>
    </row>
    <row r="29" spans="1:6" ht="21.75" customHeight="1">
      <c r="A29" s="398" t="s">
        <v>595</v>
      </c>
      <c r="B29" s="511" t="s">
        <v>596</v>
      </c>
      <c r="C29" s="398">
        <v>1245000</v>
      </c>
      <c r="D29" s="398">
        <v>0</v>
      </c>
      <c r="E29" s="398">
        <v>811291.94</v>
      </c>
      <c r="F29" s="512">
        <f>E29-C29</f>
        <v>-433708.06000000006</v>
      </c>
    </row>
    <row r="30" spans="1:6" s="236" customFormat="1" ht="21.75" customHeight="1">
      <c r="A30" s="404" t="s">
        <v>117</v>
      </c>
      <c r="B30" s="513"/>
      <c r="C30" s="514">
        <f>SUM(C29:C29)</f>
        <v>1245000</v>
      </c>
      <c r="D30" s="514">
        <f>SUM(D29:D29)</f>
        <v>0</v>
      </c>
      <c r="E30" s="514">
        <f>+E29</f>
        <v>811291.94</v>
      </c>
      <c r="F30" s="514">
        <f>SUM(F29:F29)</f>
        <v>-433708.06000000006</v>
      </c>
    </row>
    <row r="31" spans="1:6" ht="21.75" customHeight="1">
      <c r="A31" s="510" t="s">
        <v>597</v>
      </c>
      <c r="B31" s="511"/>
      <c r="C31" s="398"/>
      <c r="D31" s="398"/>
      <c r="E31" s="398"/>
      <c r="F31" s="398"/>
    </row>
    <row r="32" spans="1:6" ht="21.75" customHeight="1">
      <c r="A32" s="398" t="s">
        <v>598</v>
      </c>
      <c r="B32" s="511" t="s">
        <v>599</v>
      </c>
      <c r="C32" s="398">
        <v>1050000</v>
      </c>
      <c r="D32" s="398">
        <v>107217</v>
      </c>
      <c r="E32" s="398">
        <f>+D32+1091525</f>
        <v>1198742</v>
      </c>
      <c r="F32" s="512">
        <f>E32-C32</f>
        <v>148742</v>
      </c>
    </row>
    <row r="33" spans="1:6" ht="21.75" customHeight="1">
      <c r="A33" s="398" t="s">
        <v>600</v>
      </c>
      <c r="B33" s="225" t="s">
        <v>601</v>
      </c>
      <c r="C33" s="414">
        <v>250000</v>
      </c>
      <c r="D33" s="414">
        <v>0</v>
      </c>
      <c r="E33" s="414">
        <v>16500</v>
      </c>
      <c r="F33" s="512">
        <f>E33-C33</f>
        <v>-233500</v>
      </c>
    </row>
    <row r="34" spans="1:6" s="236" customFormat="1" ht="21.75" customHeight="1">
      <c r="A34" s="404" t="s">
        <v>117</v>
      </c>
      <c r="B34" s="513"/>
      <c r="C34" s="514">
        <f>SUM(C31:C33)</f>
        <v>1300000</v>
      </c>
      <c r="D34" s="514">
        <f>SUM(D31:D33)</f>
        <v>107217</v>
      </c>
      <c r="E34" s="514">
        <f>+E32+E33</f>
        <v>1215242</v>
      </c>
      <c r="F34" s="514">
        <f>SUM(F31:F33)</f>
        <v>-84758</v>
      </c>
    </row>
    <row r="35" spans="1:6" ht="21.75" customHeight="1">
      <c r="A35" s="510" t="s">
        <v>602</v>
      </c>
      <c r="B35" s="511"/>
      <c r="C35" s="398"/>
      <c r="D35" s="398"/>
      <c r="E35" s="398"/>
      <c r="F35" s="398"/>
    </row>
    <row r="36" spans="1:6" ht="21.75" customHeight="1">
      <c r="A36" s="398" t="s">
        <v>603</v>
      </c>
      <c r="B36" s="511" t="s">
        <v>604</v>
      </c>
      <c r="C36" s="398">
        <v>100000</v>
      </c>
      <c r="D36" s="398">
        <v>0</v>
      </c>
      <c r="E36" s="398">
        <v>56000</v>
      </c>
      <c r="F36" s="512">
        <f>E36-C36</f>
        <v>-44000</v>
      </c>
    </row>
    <row r="37" spans="1:6" ht="21.75" customHeight="1">
      <c r="A37" s="398" t="s">
        <v>605</v>
      </c>
      <c r="B37" s="511" t="s">
        <v>606</v>
      </c>
      <c r="C37" s="398">
        <v>20000</v>
      </c>
      <c r="D37" s="398">
        <v>0</v>
      </c>
      <c r="E37" s="398">
        <v>5360</v>
      </c>
      <c r="F37" s="512">
        <f>E37-C37</f>
        <v>-14640</v>
      </c>
    </row>
    <row r="38" spans="1:6" s="236" customFormat="1" ht="21.75" customHeight="1">
      <c r="A38" s="404" t="s">
        <v>117</v>
      </c>
      <c r="B38" s="513"/>
      <c r="C38" s="514">
        <f>SUM(C36:C37)</f>
        <v>120000</v>
      </c>
      <c r="D38" s="514">
        <f>SUM(D36:D37)</f>
        <v>0</v>
      </c>
      <c r="E38" s="514">
        <f>SUM(E36:E37)</f>
        <v>61360</v>
      </c>
      <c r="F38" s="514">
        <f>SUM(F36:F37)</f>
        <v>-58640</v>
      </c>
    </row>
    <row r="39" spans="1:6" ht="21.75" customHeight="1">
      <c r="A39" s="510" t="s">
        <v>607</v>
      </c>
      <c r="B39" s="511"/>
      <c r="C39" s="398"/>
      <c r="D39" s="398"/>
      <c r="E39" s="398"/>
      <c r="F39" s="398"/>
    </row>
    <row r="40" spans="1:6" ht="21.75" customHeight="1">
      <c r="A40" s="398" t="s">
        <v>608</v>
      </c>
      <c r="B40" s="511" t="s">
        <v>609</v>
      </c>
      <c r="C40" s="398">
        <v>20000</v>
      </c>
      <c r="D40" s="398">
        <v>0</v>
      </c>
      <c r="E40" s="398">
        <v>37690</v>
      </c>
      <c r="F40" s="512">
        <f>E40-C40</f>
        <v>17690</v>
      </c>
    </row>
    <row r="41" spans="1:6" s="236" customFormat="1" ht="21.75" customHeight="1">
      <c r="A41" s="408" t="s">
        <v>117</v>
      </c>
      <c r="B41" s="513"/>
      <c r="C41" s="514">
        <f>SUM(C40:C40)</f>
        <v>20000</v>
      </c>
      <c r="D41" s="514">
        <f>SUM(D40:D40)</f>
        <v>0</v>
      </c>
      <c r="E41" s="514">
        <f>+E40</f>
        <v>37690</v>
      </c>
      <c r="F41" s="514">
        <f>SUM(F40:F40)</f>
        <v>17690</v>
      </c>
    </row>
    <row r="42" spans="1:6" s="517" customFormat="1" ht="21.75" customHeight="1">
      <c r="A42" s="268"/>
      <c r="B42" s="516"/>
      <c r="C42" s="422"/>
      <c r="D42" s="422"/>
      <c r="E42" s="422"/>
      <c r="F42" s="422"/>
    </row>
    <row r="43" spans="1:6" ht="22.5" customHeight="1">
      <c r="A43" s="630" t="s">
        <v>130</v>
      </c>
      <c r="B43" s="634" t="s">
        <v>552</v>
      </c>
      <c r="C43" s="632" t="s">
        <v>123</v>
      </c>
      <c r="D43" s="632" t="s">
        <v>553</v>
      </c>
      <c r="E43" s="635" t="s">
        <v>554</v>
      </c>
      <c r="F43" s="504" t="s">
        <v>555</v>
      </c>
    </row>
    <row r="44" spans="1:6" ht="22.5" customHeight="1">
      <c r="A44" s="631"/>
      <c r="B44" s="631"/>
      <c r="C44" s="633"/>
      <c r="D44" s="633"/>
      <c r="E44" s="636"/>
      <c r="F44" s="505" t="s">
        <v>556</v>
      </c>
    </row>
    <row r="45" spans="1:6" ht="21.75" customHeight="1">
      <c r="A45" s="510" t="s">
        <v>610</v>
      </c>
      <c r="B45" s="511"/>
      <c r="C45" s="398"/>
      <c r="D45" s="398"/>
      <c r="E45" s="398"/>
      <c r="F45" s="398"/>
    </row>
    <row r="46" spans="1:6" ht="21.75" customHeight="1">
      <c r="A46" s="510" t="s">
        <v>611</v>
      </c>
      <c r="B46" s="511"/>
      <c r="C46" s="398"/>
      <c r="D46" s="398"/>
      <c r="E46" s="398"/>
      <c r="F46" s="398"/>
    </row>
    <row r="47" spans="1:6" ht="21.75" customHeight="1">
      <c r="A47" s="398" t="s">
        <v>612</v>
      </c>
      <c r="B47" s="511" t="s">
        <v>613</v>
      </c>
      <c r="C47" s="398">
        <v>455000</v>
      </c>
      <c r="D47" s="398">
        <v>95417.62</v>
      </c>
      <c r="E47" s="398">
        <f>+D47+448975.63</f>
        <v>544393.25</v>
      </c>
      <c r="F47" s="512">
        <f aca="true" t="shared" si="1" ref="F47:F57">E47-C47</f>
        <v>89393.25</v>
      </c>
    </row>
    <row r="48" spans="1:6" ht="21.75" customHeight="1">
      <c r="A48" s="398" t="s">
        <v>614</v>
      </c>
      <c r="B48" s="511" t="s">
        <v>615</v>
      </c>
      <c r="C48" s="398">
        <v>7600000</v>
      </c>
      <c r="D48" s="398">
        <v>1464800.95</v>
      </c>
      <c r="E48" s="398">
        <f>+D48+6944709.75</f>
        <v>8409510.7</v>
      </c>
      <c r="F48" s="512">
        <f t="shared" si="1"/>
        <v>809510.6999999993</v>
      </c>
    </row>
    <row r="49" spans="1:6" ht="21.75" customHeight="1">
      <c r="A49" s="518" t="s">
        <v>616</v>
      </c>
      <c r="B49" s="511" t="s">
        <v>617</v>
      </c>
      <c r="C49" s="398">
        <v>5600000</v>
      </c>
      <c r="D49" s="398">
        <v>630613.38</v>
      </c>
      <c r="E49" s="398">
        <f>+D49+5457936.37</f>
        <v>6088549.75</v>
      </c>
      <c r="F49" s="512">
        <f t="shared" si="1"/>
        <v>488549.75</v>
      </c>
    </row>
    <row r="50" spans="1:6" ht="21.75" customHeight="1">
      <c r="A50" s="398" t="s">
        <v>618</v>
      </c>
      <c r="B50" s="511" t="s">
        <v>619</v>
      </c>
      <c r="C50" s="398">
        <v>540000</v>
      </c>
      <c r="D50" s="398">
        <v>0</v>
      </c>
      <c r="E50" s="398">
        <v>437751.52</v>
      </c>
      <c r="F50" s="512">
        <f t="shared" si="1"/>
        <v>-102248.47999999998</v>
      </c>
    </row>
    <row r="51" spans="1:6" ht="21.75" customHeight="1">
      <c r="A51" s="398" t="s">
        <v>620</v>
      </c>
      <c r="B51" s="511" t="s">
        <v>621</v>
      </c>
      <c r="C51" s="398">
        <v>2065000</v>
      </c>
      <c r="D51" s="398">
        <v>175026.77</v>
      </c>
      <c r="E51" s="398">
        <f>+D51+1681685.55</f>
        <v>1856712.32</v>
      </c>
      <c r="F51" s="512">
        <f t="shared" si="1"/>
        <v>-208287.67999999993</v>
      </c>
    </row>
    <row r="52" spans="1:6" ht="21.75" customHeight="1">
      <c r="A52" s="398" t="s">
        <v>622</v>
      </c>
      <c r="B52" s="511" t="s">
        <v>623</v>
      </c>
      <c r="C52" s="398">
        <v>4245000</v>
      </c>
      <c r="D52" s="398">
        <v>376056.97</v>
      </c>
      <c r="E52" s="398">
        <f>+D52+4098401.31</f>
        <v>4474458.28</v>
      </c>
      <c r="F52" s="512">
        <f t="shared" si="1"/>
        <v>229458.28000000026</v>
      </c>
    </row>
    <row r="53" spans="1:6" ht="21.75" customHeight="1">
      <c r="A53" s="398" t="s">
        <v>624</v>
      </c>
      <c r="B53" s="511" t="s">
        <v>625</v>
      </c>
      <c r="C53" s="398">
        <v>5500</v>
      </c>
      <c r="D53" s="398">
        <v>0</v>
      </c>
      <c r="E53" s="398">
        <v>11453</v>
      </c>
      <c r="F53" s="512">
        <f t="shared" si="1"/>
        <v>5953</v>
      </c>
    </row>
    <row r="54" spans="1:6" ht="21.75" customHeight="1">
      <c r="A54" s="398" t="s">
        <v>626</v>
      </c>
      <c r="B54" s="511" t="s">
        <v>627</v>
      </c>
      <c r="C54" s="398">
        <v>30000</v>
      </c>
      <c r="D54" s="398">
        <v>14663.13</v>
      </c>
      <c r="E54" s="398">
        <f>+D54+64084.57</f>
        <v>78747.7</v>
      </c>
      <c r="F54" s="512">
        <f t="shared" si="1"/>
        <v>48747.7</v>
      </c>
    </row>
    <row r="55" spans="1:6" ht="21.75" customHeight="1">
      <c r="A55" s="398" t="s">
        <v>628</v>
      </c>
      <c r="B55" s="511" t="s">
        <v>629</v>
      </c>
      <c r="C55" s="398">
        <v>130000</v>
      </c>
      <c r="D55" s="398">
        <v>0</v>
      </c>
      <c r="E55" s="398">
        <v>66952.45</v>
      </c>
      <c r="F55" s="512">
        <f t="shared" si="1"/>
        <v>-63047.55</v>
      </c>
    </row>
    <row r="56" spans="1:6" ht="21.75" customHeight="1">
      <c r="A56" s="398" t="s">
        <v>630</v>
      </c>
      <c r="B56" s="511" t="s">
        <v>631</v>
      </c>
      <c r="C56" s="398">
        <v>19540000</v>
      </c>
      <c r="D56" s="398">
        <v>0</v>
      </c>
      <c r="E56" s="398">
        <v>22769443</v>
      </c>
      <c r="F56" s="512">
        <f t="shared" si="1"/>
        <v>3229443</v>
      </c>
    </row>
    <row r="57" spans="1:6" ht="21.75" customHeight="1">
      <c r="A57" s="398" t="s">
        <v>632</v>
      </c>
      <c r="B57" s="519" t="s">
        <v>633</v>
      </c>
      <c r="C57" s="520">
        <v>2000</v>
      </c>
      <c r="D57" s="520">
        <v>0</v>
      </c>
      <c r="E57" s="520">
        <v>2560</v>
      </c>
      <c r="F57" s="512">
        <f t="shared" si="1"/>
        <v>560</v>
      </c>
    </row>
    <row r="58" spans="1:6" s="236" customFormat="1" ht="21.75" customHeight="1">
      <c r="A58" s="404" t="s">
        <v>117</v>
      </c>
      <c r="B58" s="513"/>
      <c r="C58" s="514">
        <f>SUM(C47:C57)</f>
        <v>40212500</v>
      </c>
      <c r="D58" s="514">
        <f>SUM(D47:D57)</f>
        <v>2756578.8199999994</v>
      </c>
      <c r="E58" s="514">
        <f>SUM(E47:E57)</f>
        <v>44740531.97</v>
      </c>
      <c r="F58" s="514">
        <f>SUM(F47:F57)</f>
        <v>4528031.97</v>
      </c>
    </row>
    <row r="59" spans="1:6" ht="21.75" customHeight="1">
      <c r="A59" s="510" t="s">
        <v>634</v>
      </c>
      <c r="B59" s="511"/>
      <c r="C59" s="398"/>
      <c r="D59" s="398"/>
      <c r="E59" s="398"/>
      <c r="F59" s="398"/>
    </row>
    <row r="60" spans="1:6" ht="21.75" customHeight="1">
      <c r="A60" s="510" t="s">
        <v>635</v>
      </c>
      <c r="B60" s="511"/>
      <c r="C60" s="398"/>
      <c r="D60" s="398"/>
      <c r="E60" s="398"/>
      <c r="F60" s="398"/>
    </row>
    <row r="61" spans="1:6" ht="21.75" customHeight="1">
      <c r="A61" s="398" t="s">
        <v>636</v>
      </c>
      <c r="B61" s="511" t="s">
        <v>637</v>
      </c>
      <c r="C61" s="398">
        <v>16000000</v>
      </c>
      <c r="D61" s="398">
        <v>0</v>
      </c>
      <c r="E61" s="398">
        <v>3476786</v>
      </c>
      <c r="F61" s="512">
        <f>E61-C61</f>
        <v>-12523214</v>
      </c>
    </row>
    <row r="62" spans="1:6" ht="21.75" customHeight="1">
      <c r="A62" s="398" t="s">
        <v>638</v>
      </c>
      <c r="B62" s="511" t="s">
        <v>639</v>
      </c>
      <c r="C62" s="398">
        <v>10576000</v>
      </c>
      <c r="D62" s="398">
        <v>0</v>
      </c>
      <c r="E62" s="398">
        <v>21074153</v>
      </c>
      <c r="F62" s="512">
        <f>+E62-C62</f>
        <v>10498153</v>
      </c>
    </row>
    <row r="63" spans="1:6" s="236" customFormat="1" ht="21.75" customHeight="1">
      <c r="A63" s="521" t="s">
        <v>117</v>
      </c>
      <c r="B63" s="513"/>
      <c r="C63" s="514">
        <f>+C61+C62</f>
        <v>26576000</v>
      </c>
      <c r="D63" s="514">
        <f>+D61+D62</f>
        <v>0</v>
      </c>
      <c r="E63" s="514">
        <f>+E61+E62</f>
        <v>24550939</v>
      </c>
      <c r="F63" s="514">
        <f>+F61+F62</f>
        <v>-2025061</v>
      </c>
    </row>
    <row r="64" spans="1:6" s="236" customFormat="1" ht="24.75" customHeight="1" thickBot="1">
      <c r="A64" s="522" t="s">
        <v>640</v>
      </c>
      <c r="B64" s="523"/>
      <c r="C64" s="524">
        <f>+C63+C58+C41+C38+C34+C30+C27+C11</f>
        <v>80000000</v>
      </c>
      <c r="D64" s="524">
        <f>+D63+D58+D41+D38+D34+D30+D27+D11</f>
        <v>3065795.499999999</v>
      </c>
      <c r="E64" s="524">
        <f>+E63+E58+E41+E38+E34+E30+E27+E11</f>
        <v>81915595.09</v>
      </c>
      <c r="F64" s="524">
        <f>+F63+F58+F41+F38+F34+F30+F27+F11</f>
        <v>1915595.0899999994</v>
      </c>
    </row>
    <row r="65" spans="1:6" ht="31.5" customHeight="1" thickTop="1">
      <c r="A65" s="525" t="s">
        <v>641</v>
      </c>
      <c r="B65" s="507"/>
      <c r="C65" s="526"/>
      <c r="D65" s="526"/>
      <c r="E65" s="526"/>
      <c r="F65" s="526"/>
    </row>
    <row r="66" spans="1:6" ht="21.75" customHeight="1">
      <c r="A66" s="515" t="s">
        <v>642</v>
      </c>
      <c r="B66" s="511" t="s">
        <v>12</v>
      </c>
      <c r="C66" s="398">
        <v>0</v>
      </c>
      <c r="D66" s="398">
        <v>0</v>
      </c>
      <c r="E66" s="398">
        <v>60401</v>
      </c>
      <c r="F66" s="398">
        <f>+E66</f>
        <v>60401</v>
      </c>
    </row>
    <row r="67" spans="1:6" ht="21.75" customHeight="1">
      <c r="A67" s="515" t="s">
        <v>643</v>
      </c>
      <c r="B67" s="511" t="s">
        <v>12</v>
      </c>
      <c r="C67" s="398">
        <v>0</v>
      </c>
      <c r="D67" s="398">
        <v>87330</v>
      </c>
      <c r="E67" s="398">
        <f>253860+D67</f>
        <v>341190</v>
      </c>
      <c r="F67" s="512">
        <f>E67-C67</f>
        <v>341190</v>
      </c>
    </row>
    <row r="68" spans="1:6" ht="21.75" customHeight="1">
      <c r="A68" s="515" t="s">
        <v>644</v>
      </c>
      <c r="B68" s="511" t="s">
        <v>12</v>
      </c>
      <c r="C68" s="398">
        <v>0</v>
      </c>
      <c r="D68" s="398">
        <v>4500</v>
      </c>
      <c r="E68" s="398">
        <f>13500+D68</f>
        <v>18000</v>
      </c>
      <c r="F68" s="512">
        <f>E68-C68</f>
        <v>18000</v>
      </c>
    </row>
    <row r="69" spans="1:6" ht="21.75" customHeight="1">
      <c r="A69" s="515" t="s">
        <v>645</v>
      </c>
      <c r="B69" s="511" t="s">
        <v>12</v>
      </c>
      <c r="C69" s="398">
        <v>0</v>
      </c>
      <c r="D69" s="398">
        <v>10500</v>
      </c>
      <c r="E69" s="398">
        <f>31500+D69</f>
        <v>42000</v>
      </c>
      <c r="F69" s="512">
        <f>E69-C69</f>
        <v>42000</v>
      </c>
    </row>
    <row r="70" spans="1:6" ht="21.75" customHeight="1">
      <c r="A70" s="515" t="s">
        <v>646</v>
      </c>
      <c r="B70" s="511" t="s">
        <v>12</v>
      </c>
      <c r="C70" s="398">
        <v>0</v>
      </c>
      <c r="D70" s="398">
        <v>0</v>
      </c>
      <c r="E70" s="398">
        <v>8400</v>
      </c>
      <c r="F70" s="512">
        <f>E70-C70</f>
        <v>8400</v>
      </c>
    </row>
    <row r="71" spans="1:6" ht="21.75" customHeight="1">
      <c r="A71" s="515" t="s">
        <v>647</v>
      </c>
      <c r="B71" s="511" t="s">
        <v>12</v>
      </c>
      <c r="C71" s="398">
        <v>0</v>
      </c>
      <c r="D71" s="398">
        <v>4366.5</v>
      </c>
      <c r="E71" s="398">
        <f>12693+D71</f>
        <v>17059.5</v>
      </c>
      <c r="F71" s="512">
        <f>E71-C71</f>
        <v>17059.5</v>
      </c>
    </row>
    <row r="72" spans="1:6" ht="21.75" customHeight="1" hidden="1">
      <c r="A72" s="515"/>
      <c r="B72" s="511"/>
      <c r="C72" s="398"/>
      <c r="D72" s="398"/>
      <c r="E72" s="398"/>
      <c r="F72" s="512"/>
    </row>
    <row r="73" spans="1:6" ht="21.75" customHeight="1">
      <c r="A73" s="515"/>
      <c r="B73" s="511"/>
      <c r="C73" s="398"/>
      <c r="D73" s="398"/>
      <c r="E73" s="398"/>
      <c r="F73" s="512"/>
    </row>
    <row r="74" spans="1:6" s="236" customFormat="1" ht="21.75" customHeight="1">
      <c r="A74" s="521" t="s">
        <v>117</v>
      </c>
      <c r="B74" s="513"/>
      <c r="C74" s="514">
        <f>SUM(C67:C73)</f>
        <v>0</v>
      </c>
      <c r="D74" s="514">
        <f>SUM(D66:D73)</f>
        <v>106696.5</v>
      </c>
      <c r="E74" s="514">
        <f>SUM(E66:E73)</f>
        <v>487050.5</v>
      </c>
      <c r="F74" s="514">
        <f>SUM(F66:F73)</f>
        <v>487050.5</v>
      </c>
    </row>
    <row r="75" spans="1:6" s="236" customFormat="1" ht="24.75" customHeight="1">
      <c r="A75" s="527" t="s">
        <v>140</v>
      </c>
      <c r="B75" s="528"/>
      <c r="C75" s="529">
        <f>+C11+C27+C30+C38+C58+C74+C41+C34+C63</f>
        <v>80000000</v>
      </c>
      <c r="D75" s="529">
        <f>+D74+D64</f>
        <v>3172491.999999999</v>
      </c>
      <c r="E75" s="529">
        <f>+E74+E64</f>
        <v>82402645.59</v>
      </c>
      <c r="F75" s="529">
        <f>+F74+F64</f>
        <v>2402645.5899999994</v>
      </c>
    </row>
    <row r="76" spans="2:6" ht="21.75" customHeight="1">
      <c r="B76" s="530"/>
      <c r="C76" s="531"/>
      <c r="D76" s="531"/>
      <c r="F76" s="531"/>
    </row>
    <row r="77" spans="2:6" ht="21.75" customHeight="1">
      <c r="B77" s="530"/>
      <c r="C77" s="531"/>
      <c r="D77" s="531"/>
      <c r="F77" s="531"/>
    </row>
    <row r="78" spans="2:6" ht="21.75" customHeight="1">
      <c r="B78" s="530"/>
      <c r="C78" s="531"/>
      <c r="D78" s="531"/>
      <c r="F78" s="531"/>
    </row>
    <row r="79" spans="2:6" ht="21.75" customHeight="1">
      <c r="B79" s="530"/>
      <c r="C79" s="531"/>
      <c r="D79" s="531"/>
      <c r="F79" s="531"/>
    </row>
    <row r="80" spans="2:6" ht="21.75" customHeight="1">
      <c r="B80" s="530"/>
      <c r="C80" s="531"/>
      <c r="D80" s="531"/>
      <c r="F80" s="531"/>
    </row>
    <row r="81" spans="2:6" ht="21.75" customHeight="1">
      <c r="B81" s="530"/>
      <c r="C81" s="531"/>
      <c r="D81" s="531"/>
      <c r="F81" s="531"/>
    </row>
    <row r="82" spans="3:6" ht="21.75" customHeight="1">
      <c r="C82" s="531"/>
      <c r="D82" s="531"/>
      <c r="F82" s="531"/>
    </row>
    <row r="83" spans="3:6" ht="21.75" customHeight="1">
      <c r="C83" s="531"/>
      <c r="D83" s="531"/>
      <c r="F83" s="531"/>
    </row>
    <row r="84" spans="1:6" ht="22.5" customHeight="1">
      <c r="A84" s="630" t="s">
        <v>129</v>
      </c>
      <c r="B84" s="634" t="s">
        <v>552</v>
      </c>
      <c r="C84" s="632" t="s">
        <v>123</v>
      </c>
      <c r="D84" s="632" t="s">
        <v>553</v>
      </c>
      <c r="E84" s="635" t="s">
        <v>648</v>
      </c>
      <c r="F84" s="504" t="s">
        <v>555</v>
      </c>
    </row>
    <row r="85" spans="1:6" ht="22.5" customHeight="1">
      <c r="A85" s="631"/>
      <c r="B85" s="631"/>
      <c r="C85" s="633"/>
      <c r="D85" s="633"/>
      <c r="E85" s="636"/>
      <c r="F85" s="505" t="s">
        <v>556</v>
      </c>
    </row>
    <row r="86" spans="1:6" ht="21.75" customHeight="1">
      <c r="A86" s="510" t="s">
        <v>129</v>
      </c>
      <c r="B86" s="511"/>
      <c r="C86" s="398"/>
      <c r="D86" s="398"/>
      <c r="E86" s="398"/>
      <c r="F86" s="398"/>
    </row>
    <row r="87" spans="1:6" ht="21.75" customHeight="1">
      <c r="A87" s="510" t="s">
        <v>95</v>
      </c>
      <c r="B87" s="511"/>
      <c r="C87" s="398"/>
      <c r="D87" s="398"/>
      <c r="E87" s="398"/>
      <c r="F87" s="398"/>
    </row>
    <row r="88" spans="1:6" ht="21.75" customHeight="1">
      <c r="A88" s="278" t="s">
        <v>391</v>
      </c>
      <c r="B88" s="511" t="s">
        <v>132</v>
      </c>
      <c r="C88" s="17">
        <f>10593851.5-17059.5</f>
        <v>10576792</v>
      </c>
      <c r="D88" s="398"/>
      <c r="E88" s="17">
        <v>8765251.91</v>
      </c>
      <c r="F88" s="512">
        <f>+E88-C88</f>
        <v>-1811540.0899999999</v>
      </c>
    </row>
    <row r="89" spans="1:6" ht="21.75" customHeight="1">
      <c r="A89" s="278" t="s">
        <v>392</v>
      </c>
      <c r="B89" s="511" t="s">
        <v>147</v>
      </c>
      <c r="C89" s="8">
        <v>1783880</v>
      </c>
      <c r="D89" s="398"/>
      <c r="E89" s="17">
        <v>1783800</v>
      </c>
      <c r="F89" s="512">
        <f aca="true" t="shared" si="2" ref="F89:F96">+E89-C89</f>
        <v>-80</v>
      </c>
    </row>
    <row r="90" spans="1:6" ht="21.75" customHeight="1">
      <c r="A90" s="278" t="s">
        <v>393</v>
      </c>
      <c r="B90" s="511" t="s">
        <v>149</v>
      </c>
      <c r="C90" s="8">
        <f>19702243-419591</f>
        <v>19282652</v>
      </c>
      <c r="D90" s="398"/>
      <c r="E90" s="17">
        <v>15000295</v>
      </c>
      <c r="F90" s="512">
        <f t="shared" si="2"/>
        <v>-4282357</v>
      </c>
    </row>
    <row r="91" spans="1:6" ht="21.75" customHeight="1">
      <c r="A91" s="278" t="s">
        <v>394</v>
      </c>
      <c r="B91" s="511" t="s">
        <v>2</v>
      </c>
      <c r="C91" s="17">
        <f>2855400-50400</f>
        <v>2805000</v>
      </c>
      <c r="D91" s="398"/>
      <c r="E91" s="17">
        <v>2215390</v>
      </c>
      <c r="F91" s="512">
        <f t="shared" si="2"/>
        <v>-589610</v>
      </c>
    </row>
    <row r="92" spans="1:6" ht="21.75" customHeight="1">
      <c r="A92" s="278" t="s">
        <v>395</v>
      </c>
      <c r="B92" s="511" t="s">
        <v>3</v>
      </c>
      <c r="C92" s="17">
        <v>10004300</v>
      </c>
      <c r="D92" s="398"/>
      <c r="E92" s="17">
        <v>6365865.4</v>
      </c>
      <c r="F92" s="512">
        <f t="shared" si="2"/>
        <v>-3638434.5999999996</v>
      </c>
    </row>
    <row r="93" spans="1:6" ht="21.75" customHeight="1">
      <c r="A93" s="278" t="s">
        <v>396</v>
      </c>
      <c r="B93" s="511" t="s">
        <v>4</v>
      </c>
      <c r="C93" s="17">
        <v>8414752.14</v>
      </c>
      <c r="D93" s="398"/>
      <c r="E93" s="17">
        <v>6339821.47</v>
      </c>
      <c r="F93" s="512">
        <f t="shared" si="2"/>
        <v>-2074930.6700000009</v>
      </c>
    </row>
    <row r="94" spans="1:6" ht="21.75" customHeight="1">
      <c r="A94" s="278" t="s">
        <v>397</v>
      </c>
      <c r="B94" s="511" t="s">
        <v>5</v>
      </c>
      <c r="C94" s="17">
        <v>1420000</v>
      </c>
      <c r="D94" s="398"/>
      <c r="E94" s="17">
        <v>1107921.7</v>
      </c>
      <c r="F94" s="512">
        <f t="shared" si="2"/>
        <v>-312078.30000000005</v>
      </c>
    </row>
    <row r="95" spans="1:6" ht="21.75" customHeight="1">
      <c r="A95" s="278" t="s">
        <v>398</v>
      </c>
      <c r="B95" s="511" t="s">
        <v>7</v>
      </c>
      <c r="C95" s="17">
        <v>8349400</v>
      </c>
      <c r="D95" s="398"/>
      <c r="E95" s="17">
        <v>6970649.36</v>
      </c>
      <c r="F95" s="512">
        <f t="shared" si="2"/>
        <v>-1378750.6399999997</v>
      </c>
    </row>
    <row r="96" spans="1:6" ht="21.75" customHeight="1">
      <c r="A96" s="278" t="s">
        <v>399</v>
      </c>
      <c r="B96" s="511" t="s">
        <v>8</v>
      </c>
      <c r="C96" s="17">
        <v>8887000</v>
      </c>
      <c r="D96" s="398"/>
      <c r="E96" s="17">
        <v>7964022.98</v>
      </c>
      <c r="F96" s="512">
        <f t="shared" si="2"/>
        <v>-922977.0199999996</v>
      </c>
    </row>
    <row r="97" spans="1:6" ht="21.75" customHeight="1">
      <c r="A97" s="278" t="s">
        <v>400</v>
      </c>
      <c r="B97" s="511" t="s">
        <v>133</v>
      </c>
      <c r="C97" s="17">
        <v>20000</v>
      </c>
      <c r="D97" s="398"/>
      <c r="E97" s="17">
        <v>20000</v>
      </c>
      <c r="F97" s="512" t="s">
        <v>94</v>
      </c>
    </row>
    <row r="98" spans="1:6" ht="21.75" customHeight="1">
      <c r="A98" s="278" t="s">
        <v>401</v>
      </c>
      <c r="B98" s="519" t="s">
        <v>6</v>
      </c>
      <c r="C98" s="298">
        <v>8456223.86</v>
      </c>
      <c r="D98" s="520"/>
      <c r="E98" s="298">
        <v>8245023.86</v>
      </c>
      <c r="F98" s="512">
        <f>+E98-C98</f>
        <v>-211199.99999999907</v>
      </c>
    </row>
    <row r="99" spans="1:6" s="236" customFormat="1" ht="21.75" customHeight="1">
      <c r="A99" s="404" t="s">
        <v>652</v>
      </c>
      <c r="B99" s="513"/>
      <c r="C99" s="514">
        <f>SUM(C88:C98)</f>
        <v>80000000</v>
      </c>
      <c r="D99" s="514">
        <f>SUM(D88:D98)</f>
        <v>0</v>
      </c>
      <c r="E99" s="514">
        <f>SUM(E88:E98)</f>
        <v>64778041.68000001</v>
      </c>
      <c r="F99" s="514">
        <f>SUM(F88:F98)</f>
        <v>-15221958.32</v>
      </c>
    </row>
    <row r="100" spans="1:6" ht="21.75" customHeight="1">
      <c r="A100" s="510" t="s">
        <v>653</v>
      </c>
      <c r="B100" s="511"/>
      <c r="C100" s="398"/>
      <c r="D100" s="398"/>
      <c r="E100" s="398"/>
      <c r="F100" s="398"/>
    </row>
    <row r="101" spans="1:6" ht="21.75" customHeight="1">
      <c r="A101" s="510" t="s">
        <v>635</v>
      </c>
      <c r="B101" s="511"/>
      <c r="C101" s="398"/>
      <c r="D101" s="398"/>
      <c r="E101" s="398"/>
      <c r="F101" s="398"/>
    </row>
    <row r="102" spans="1:6" ht="21.75" customHeight="1">
      <c r="A102" s="515" t="s">
        <v>642</v>
      </c>
      <c r="B102" s="511" t="s">
        <v>12</v>
      </c>
      <c r="C102" s="398">
        <v>0</v>
      </c>
      <c r="D102" s="398"/>
      <c r="E102" s="398">
        <v>60401</v>
      </c>
      <c r="F102" s="512">
        <f aca="true" t="shared" si="3" ref="F102:F107">E102-C102</f>
        <v>60401</v>
      </c>
    </row>
    <row r="103" spans="1:6" ht="21.75" customHeight="1">
      <c r="A103" s="515" t="s">
        <v>643</v>
      </c>
      <c r="B103" s="511" t="s">
        <v>12</v>
      </c>
      <c r="C103" s="398">
        <v>0</v>
      </c>
      <c r="D103" s="398"/>
      <c r="E103" s="398">
        <v>341190</v>
      </c>
      <c r="F103" s="512">
        <f t="shared" si="3"/>
        <v>341190</v>
      </c>
    </row>
    <row r="104" spans="1:6" ht="21.75" customHeight="1">
      <c r="A104" s="515" t="s">
        <v>644</v>
      </c>
      <c r="B104" s="511" t="s">
        <v>12</v>
      </c>
      <c r="C104" s="398">
        <v>0</v>
      </c>
      <c r="D104" s="398"/>
      <c r="E104" s="398">
        <v>18000</v>
      </c>
      <c r="F104" s="512">
        <f t="shared" si="3"/>
        <v>18000</v>
      </c>
    </row>
    <row r="105" spans="1:6" ht="21.75" customHeight="1">
      <c r="A105" s="515" t="s">
        <v>645</v>
      </c>
      <c r="B105" s="511" t="s">
        <v>12</v>
      </c>
      <c r="C105" s="398">
        <v>0</v>
      </c>
      <c r="D105" s="398"/>
      <c r="E105" s="398">
        <v>42000</v>
      </c>
      <c r="F105" s="512">
        <f t="shared" si="3"/>
        <v>42000</v>
      </c>
    </row>
    <row r="106" spans="1:6" ht="21.75" customHeight="1">
      <c r="A106" s="515" t="s">
        <v>646</v>
      </c>
      <c r="B106" s="511" t="s">
        <v>12</v>
      </c>
      <c r="C106" s="398">
        <v>0</v>
      </c>
      <c r="D106" s="398"/>
      <c r="E106" s="398">
        <v>8400</v>
      </c>
      <c r="F106" s="512">
        <f t="shared" si="3"/>
        <v>8400</v>
      </c>
    </row>
    <row r="107" spans="1:6" ht="21.75" customHeight="1">
      <c r="A107" s="515" t="s">
        <v>647</v>
      </c>
      <c r="B107" s="511" t="s">
        <v>12</v>
      </c>
      <c r="C107" s="398">
        <v>0</v>
      </c>
      <c r="D107" s="398"/>
      <c r="E107" s="398">
        <v>17059.5</v>
      </c>
      <c r="F107" s="512">
        <f t="shared" si="3"/>
        <v>17059.5</v>
      </c>
    </row>
    <row r="108" spans="1:6" s="236" customFormat="1" ht="21.75" customHeight="1">
      <c r="A108" s="521" t="s">
        <v>654</v>
      </c>
      <c r="B108" s="513"/>
      <c r="C108" s="514">
        <f>+C106+C107</f>
        <v>0</v>
      </c>
      <c r="D108" s="514">
        <f>+D106+D107</f>
        <v>0</v>
      </c>
      <c r="E108" s="514">
        <f>SUM(E102:E107)</f>
        <v>487050.5</v>
      </c>
      <c r="F108" s="514">
        <f>SUM(F102:F107)</f>
        <v>487050.5</v>
      </c>
    </row>
    <row r="109" spans="1:6" s="236" customFormat="1" ht="24.75" customHeight="1" thickBot="1">
      <c r="A109" s="522" t="s">
        <v>655</v>
      </c>
      <c r="B109" s="523"/>
      <c r="C109" s="524">
        <f>+C99</f>
        <v>80000000</v>
      </c>
      <c r="D109" s="524">
        <f>+D108+D99+D82+D74+D70+D66+D63+D47</f>
        <v>202114.12</v>
      </c>
      <c r="E109" s="524">
        <f>+E99+E108</f>
        <v>65265092.18000001</v>
      </c>
      <c r="F109" s="524">
        <f>+F108+F99+F82+F74+F70+F66+F63+F47</f>
        <v>-16114724.07</v>
      </c>
    </row>
    <row r="110" ht="18" thickTop="1"/>
    <row r="112" spans="1:5" s="236" customFormat="1" ht="21.75" customHeight="1">
      <c r="A112" s="232" t="s">
        <v>190</v>
      </c>
      <c r="B112" s="608"/>
      <c r="C112" s="621" t="s">
        <v>191</v>
      </c>
      <c r="D112" s="621"/>
      <c r="E112" s="621"/>
    </row>
    <row r="113" spans="1:3" ht="28.5" customHeight="1">
      <c r="A113" s="235"/>
      <c r="B113" s="267"/>
      <c r="C113" s="127"/>
    </row>
    <row r="114" spans="1:5" ht="21.75" customHeight="1">
      <c r="A114" s="235" t="s">
        <v>192</v>
      </c>
      <c r="B114" s="609"/>
      <c r="C114" s="620" t="s">
        <v>194</v>
      </c>
      <c r="D114" s="620"/>
      <c r="E114" s="620"/>
    </row>
    <row r="115" spans="1:5" ht="21.75" customHeight="1">
      <c r="A115" s="235" t="s">
        <v>195</v>
      </c>
      <c r="B115" s="609"/>
      <c r="C115" s="620" t="s">
        <v>197</v>
      </c>
      <c r="D115" s="620"/>
      <c r="E115" s="620"/>
    </row>
    <row r="116" s="1" customFormat="1" ht="21.75" customHeight="1">
      <c r="B116" s="264"/>
    </row>
    <row r="117" spans="1:5" s="5" customFormat="1" ht="21.75" customHeight="1">
      <c r="A117" s="128" t="s">
        <v>198</v>
      </c>
      <c r="B117" s="268"/>
      <c r="C117" s="621" t="s">
        <v>198</v>
      </c>
      <c r="D117" s="621"/>
      <c r="E117" s="621"/>
    </row>
    <row r="118" spans="1:3" s="1" customFormat="1" ht="32.25" customHeight="1">
      <c r="A118" s="126"/>
      <c r="B118" s="269"/>
      <c r="C118" s="127"/>
    </row>
    <row r="119" spans="1:5" s="1" customFormat="1" ht="21.75" customHeight="1">
      <c r="A119" s="126" t="s">
        <v>263</v>
      </c>
      <c r="B119" s="269"/>
      <c r="C119" s="620" t="s">
        <v>376</v>
      </c>
      <c r="D119" s="620"/>
      <c r="E119" s="620"/>
    </row>
    <row r="120" spans="1:5" s="1" customFormat="1" ht="21.75" customHeight="1">
      <c r="A120" s="126" t="s">
        <v>201</v>
      </c>
      <c r="B120" s="269"/>
      <c r="C120" s="620" t="s">
        <v>202</v>
      </c>
      <c r="D120" s="620"/>
      <c r="E120" s="620"/>
    </row>
  </sheetData>
  <sheetProtection/>
  <mergeCells count="24">
    <mergeCell ref="C112:E112"/>
    <mergeCell ref="C114:E114"/>
    <mergeCell ref="C115:E115"/>
    <mergeCell ref="C117:E117"/>
    <mergeCell ref="C119:E119"/>
    <mergeCell ref="C120:E120"/>
    <mergeCell ref="A84:A85"/>
    <mergeCell ref="B84:B85"/>
    <mergeCell ref="C84:C85"/>
    <mergeCell ref="D84:D85"/>
    <mergeCell ref="E84:E85"/>
    <mergeCell ref="D43:D44"/>
    <mergeCell ref="E43:E44"/>
    <mergeCell ref="A43:A44"/>
    <mergeCell ref="B43:B44"/>
    <mergeCell ref="C43:C44"/>
    <mergeCell ref="A1:F1"/>
    <mergeCell ref="A2:F2"/>
    <mergeCell ref="A3:F3"/>
    <mergeCell ref="A4:A5"/>
    <mergeCell ref="C4:C5"/>
    <mergeCell ref="D4:D5"/>
    <mergeCell ref="B4:B5"/>
    <mergeCell ref="E4:E5"/>
  </mergeCells>
  <printOptions/>
  <pageMargins left="0.6692913385826772" right="0.15748031496062992" top="0.3937007874015748" bottom="0.35433070866141736" header="0.1968503937007874" footer="0.31496062992125984"/>
  <pageSetup horizontalDpi="600" verticalDpi="600" orientation="portrait" paperSize="9" scale="92" r:id="rId2"/>
  <headerFooter alignWithMargins="0">
    <oddHeader>&amp;Rหน้าที่ &amp;P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21.75" customHeight="1"/>
  <cols>
    <col min="1" max="1" width="1.8515625" style="313" customWidth="1"/>
    <col min="2" max="2" width="16.57421875" style="314" customWidth="1"/>
    <col min="3" max="3" width="20.421875" style="314" customWidth="1"/>
    <col min="4" max="4" width="22.7109375" style="314" customWidth="1"/>
    <col min="5" max="5" width="24.421875" style="314" customWidth="1"/>
    <col min="6" max="6" width="14.421875" style="314" customWidth="1"/>
    <col min="7" max="8" width="10.8515625" style="314" hidden="1" customWidth="1"/>
    <col min="9" max="9" width="13.7109375" style="314" hidden="1" customWidth="1"/>
    <col min="10" max="10" width="1.57421875" style="314" customWidth="1"/>
    <col min="11" max="16384" width="9.140625" style="314" customWidth="1"/>
  </cols>
  <sheetData>
    <row r="1" spans="2:9" ht="22.5" customHeight="1">
      <c r="B1" s="639" t="s">
        <v>431</v>
      </c>
      <c r="C1" s="639"/>
      <c r="D1" s="639"/>
      <c r="E1" s="639"/>
      <c r="F1" s="639"/>
      <c r="G1" s="639"/>
      <c r="H1" s="639"/>
      <c r="I1" s="639"/>
    </row>
    <row r="2" spans="2:9" ht="22.5" customHeight="1">
      <c r="B2" s="639" t="s">
        <v>651</v>
      </c>
      <c r="C2" s="639"/>
      <c r="D2" s="639"/>
      <c r="E2" s="639"/>
      <c r="F2" s="639"/>
      <c r="G2" s="639"/>
      <c r="H2" s="639"/>
      <c r="I2" s="639"/>
    </row>
    <row r="3" spans="2:9" ht="22.5" customHeight="1">
      <c r="B3" s="640" t="str">
        <f>+'[1]งบทดลอง'!A3</f>
        <v>ณ  วันที่  30 กันยายน  2560</v>
      </c>
      <c r="C3" s="640"/>
      <c r="D3" s="640"/>
      <c r="E3" s="640"/>
      <c r="F3" s="640"/>
      <c r="G3" s="640"/>
      <c r="H3" s="640"/>
      <c r="I3" s="640"/>
    </row>
    <row r="4" spans="2:9" ht="21.75" customHeight="1">
      <c r="B4" s="315" t="s">
        <v>78</v>
      </c>
      <c r="C4" s="316" t="s">
        <v>79</v>
      </c>
      <c r="D4" s="317" t="s">
        <v>432</v>
      </c>
      <c r="E4" s="316" t="s">
        <v>80</v>
      </c>
      <c r="F4" s="316" t="s">
        <v>433</v>
      </c>
      <c r="G4" s="316" t="s">
        <v>160</v>
      </c>
      <c r="H4" s="317" t="s">
        <v>161</v>
      </c>
      <c r="I4" s="316" t="s">
        <v>116</v>
      </c>
    </row>
    <row r="5" spans="2:9" ht="19.5" customHeight="1">
      <c r="B5" s="318" t="s">
        <v>434</v>
      </c>
      <c r="C5" s="319"/>
      <c r="D5" s="320"/>
      <c r="E5" s="319"/>
      <c r="F5" s="321"/>
      <c r="G5" s="321"/>
      <c r="H5" s="322"/>
      <c r="I5" s="321"/>
    </row>
    <row r="6" spans="2:9" ht="19.5" customHeight="1">
      <c r="B6" s="323" t="s">
        <v>435</v>
      </c>
      <c r="C6" s="324"/>
      <c r="D6" s="325"/>
      <c r="E6" s="324"/>
      <c r="F6" s="326">
        <f>+F7+F8</f>
        <v>404130.72</v>
      </c>
      <c r="G6" s="327"/>
      <c r="H6" s="328"/>
      <c r="I6" s="327"/>
    </row>
    <row r="7" spans="2:9" ht="19.5" customHeight="1">
      <c r="B7" s="329" t="s">
        <v>436</v>
      </c>
      <c r="C7" s="330"/>
      <c r="D7" s="331" t="s">
        <v>437</v>
      </c>
      <c r="E7" s="330" t="s">
        <v>438</v>
      </c>
      <c r="F7" s="332">
        <v>381000</v>
      </c>
      <c r="G7" s="332">
        <v>0</v>
      </c>
      <c r="H7" s="333">
        <v>0</v>
      </c>
      <c r="I7" s="332">
        <f>SUM(F7+G7-H7)</f>
        <v>381000</v>
      </c>
    </row>
    <row r="8" spans="2:9" ht="22.5" customHeight="1">
      <c r="B8" s="334" t="s">
        <v>439</v>
      </c>
      <c r="C8" s="335" t="s">
        <v>440</v>
      </c>
      <c r="D8" s="336" t="s">
        <v>441</v>
      </c>
      <c r="E8" s="335"/>
      <c r="F8" s="337">
        <f>11844+7279.5+4007.22</f>
        <v>23130.72</v>
      </c>
      <c r="G8" s="332">
        <v>0</v>
      </c>
      <c r="H8" s="333">
        <v>0</v>
      </c>
      <c r="I8" s="332">
        <f>SUM(F8+G8-H8)</f>
        <v>23130.72</v>
      </c>
    </row>
    <row r="9" spans="2:9" ht="19.5" customHeight="1">
      <c r="B9" s="323" t="s">
        <v>19</v>
      </c>
      <c r="C9" s="324"/>
      <c r="D9" s="325"/>
      <c r="E9" s="324"/>
      <c r="F9" s="326">
        <v>394725</v>
      </c>
      <c r="G9" s="332"/>
      <c r="H9" s="333"/>
      <c r="I9" s="332"/>
    </row>
    <row r="10" spans="2:9" ht="19.5" customHeight="1">
      <c r="B10" s="334" t="s">
        <v>442</v>
      </c>
      <c r="C10" s="335" t="s">
        <v>275</v>
      </c>
      <c r="D10" s="336" t="s">
        <v>443</v>
      </c>
      <c r="E10" s="335"/>
      <c r="F10" s="337">
        <v>4220</v>
      </c>
      <c r="G10" s="332"/>
      <c r="H10" s="333"/>
      <c r="I10" s="332">
        <f>SUM(F10+G10-H10)</f>
        <v>4220</v>
      </c>
    </row>
    <row r="11" spans="2:9" ht="38.25" customHeight="1">
      <c r="B11" s="334" t="s">
        <v>444</v>
      </c>
      <c r="C11" s="335" t="s">
        <v>290</v>
      </c>
      <c r="D11" s="336" t="s">
        <v>445</v>
      </c>
      <c r="E11" s="335" t="s">
        <v>446</v>
      </c>
      <c r="F11" s="337">
        <v>4500</v>
      </c>
      <c r="G11" s="332"/>
      <c r="H11" s="333"/>
      <c r="I11" s="332">
        <f>SUM(F11+G11-H11)</f>
        <v>4500</v>
      </c>
    </row>
    <row r="12" spans="2:9" ht="35.25" customHeight="1">
      <c r="B12" s="334" t="s">
        <v>444</v>
      </c>
      <c r="C12" s="335" t="s">
        <v>290</v>
      </c>
      <c r="D12" s="336" t="s">
        <v>445</v>
      </c>
      <c r="E12" s="335" t="s">
        <v>447</v>
      </c>
      <c r="F12" s="337">
        <v>59300</v>
      </c>
      <c r="G12" s="332"/>
      <c r="H12" s="333"/>
      <c r="I12" s="332">
        <f>SUM(F12+G12-H12)</f>
        <v>59300</v>
      </c>
    </row>
    <row r="13" spans="2:9" ht="24.75" customHeight="1">
      <c r="B13" s="334" t="s">
        <v>439</v>
      </c>
      <c r="C13" s="335" t="s">
        <v>283</v>
      </c>
      <c r="D13" s="336" t="s">
        <v>443</v>
      </c>
      <c r="E13" s="335"/>
      <c r="F13" s="337">
        <v>4500</v>
      </c>
      <c r="G13" s="332"/>
      <c r="H13" s="333"/>
      <c r="I13" s="332">
        <f>SUM(F13+G13-H13)</f>
        <v>4500</v>
      </c>
    </row>
    <row r="14" spans="2:9" ht="24.75" customHeight="1">
      <c r="B14" s="334" t="s">
        <v>448</v>
      </c>
      <c r="C14" s="335" t="s">
        <v>299</v>
      </c>
      <c r="D14" s="336" t="s">
        <v>443</v>
      </c>
      <c r="E14" s="335"/>
      <c r="F14" s="337">
        <v>322205</v>
      </c>
      <c r="G14" s="332"/>
      <c r="H14" s="333"/>
      <c r="I14" s="332">
        <f>SUM(F14+G14-H14)</f>
        <v>322205</v>
      </c>
    </row>
    <row r="15" spans="2:9" ht="19.5" customHeight="1">
      <c r="B15" s="323" t="s">
        <v>20</v>
      </c>
      <c r="C15" s="324"/>
      <c r="D15" s="325"/>
      <c r="E15" s="324"/>
      <c r="F15" s="326">
        <v>700534.7</v>
      </c>
      <c r="G15" s="332"/>
      <c r="H15" s="333"/>
      <c r="I15" s="332"/>
    </row>
    <row r="16" spans="2:9" ht="27.75" customHeight="1">
      <c r="B16" s="334" t="s">
        <v>439</v>
      </c>
      <c r="C16" s="335" t="s">
        <v>440</v>
      </c>
      <c r="D16" s="336" t="s">
        <v>441</v>
      </c>
      <c r="E16" s="335"/>
      <c r="F16" s="337">
        <v>700534.7</v>
      </c>
      <c r="G16" s="332">
        <v>0</v>
      </c>
      <c r="H16" s="333">
        <v>0</v>
      </c>
      <c r="I16" s="332">
        <f>SUM(F16+G16-H16)</f>
        <v>700534.7</v>
      </c>
    </row>
    <row r="17" spans="2:9" ht="19.5" customHeight="1">
      <c r="B17" s="323" t="s">
        <v>22</v>
      </c>
      <c r="C17" s="324"/>
      <c r="D17" s="325"/>
      <c r="E17" s="324"/>
      <c r="F17" s="326">
        <v>141539.6</v>
      </c>
      <c r="G17" s="332">
        <v>0</v>
      </c>
      <c r="H17" s="333"/>
      <c r="I17" s="332"/>
    </row>
    <row r="18" spans="2:9" ht="24" customHeight="1">
      <c r="B18" s="334" t="s">
        <v>442</v>
      </c>
      <c r="C18" s="335" t="s">
        <v>275</v>
      </c>
      <c r="D18" s="336" t="s">
        <v>449</v>
      </c>
      <c r="E18" s="335"/>
      <c r="F18" s="337">
        <v>141539.6</v>
      </c>
      <c r="G18" s="332">
        <v>0</v>
      </c>
      <c r="H18" s="333">
        <v>0</v>
      </c>
      <c r="I18" s="332">
        <f>SUM(F18+G18-H18)</f>
        <v>141539.6</v>
      </c>
    </row>
    <row r="19" spans="2:9" ht="19.5" customHeight="1">
      <c r="B19" s="338" t="s">
        <v>450</v>
      </c>
      <c r="C19" s="339"/>
      <c r="D19" s="325"/>
      <c r="E19" s="324"/>
      <c r="F19" s="332"/>
      <c r="G19" s="332"/>
      <c r="H19" s="333"/>
      <c r="I19" s="332"/>
    </row>
    <row r="20" spans="2:9" ht="19.5" customHeight="1">
      <c r="B20" s="323" t="s">
        <v>435</v>
      </c>
      <c r="C20" s="324"/>
      <c r="D20" s="325"/>
      <c r="E20" s="324"/>
      <c r="F20" s="326">
        <f>+F21</f>
        <v>3050000</v>
      </c>
      <c r="G20" s="327"/>
      <c r="H20" s="328"/>
      <c r="I20" s="327"/>
    </row>
    <row r="21" spans="2:9" ht="19.5" customHeight="1">
      <c r="B21" s="329" t="s">
        <v>22</v>
      </c>
      <c r="C21" s="330"/>
      <c r="D21" s="331" t="s">
        <v>94</v>
      </c>
      <c r="E21" s="330" t="s">
        <v>451</v>
      </c>
      <c r="F21" s="332">
        <v>3050000</v>
      </c>
      <c r="G21" s="332">
        <v>0</v>
      </c>
      <c r="H21" s="333">
        <v>0</v>
      </c>
      <c r="I21" s="332">
        <f>SUM(F21+G21-H21)</f>
        <v>3050000</v>
      </c>
    </row>
    <row r="22" spans="2:9" ht="19.5" customHeight="1">
      <c r="B22" s="323" t="s">
        <v>18</v>
      </c>
      <c r="C22" s="324"/>
      <c r="D22" s="325"/>
      <c r="E22" s="324"/>
      <c r="F22" s="326">
        <v>1140000</v>
      </c>
      <c r="G22" s="332">
        <v>0</v>
      </c>
      <c r="H22" s="333"/>
      <c r="I22" s="332"/>
    </row>
    <row r="23" spans="2:9" ht="19.5" customHeight="1">
      <c r="B23" s="334" t="s">
        <v>442</v>
      </c>
      <c r="C23" s="335" t="s">
        <v>275</v>
      </c>
      <c r="D23" s="336" t="s">
        <v>452</v>
      </c>
      <c r="E23" s="340"/>
      <c r="F23" s="337">
        <v>460000</v>
      </c>
      <c r="G23" s="332">
        <v>0</v>
      </c>
      <c r="H23" s="333"/>
      <c r="I23" s="332">
        <f aca="true" t="shared" si="0" ref="I23:I35">SUM(F23+G23-H23)</f>
        <v>460000</v>
      </c>
    </row>
    <row r="24" spans="2:9" ht="19.5" customHeight="1">
      <c r="B24" s="334" t="s">
        <v>442</v>
      </c>
      <c r="C24" s="335" t="s">
        <v>277</v>
      </c>
      <c r="D24" s="336" t="s">
        <v>452</v>
      </c>
      <c r="E24" s="340"/>
      <c r="F24" s="337">
        <v>200000</v>
      </c>
      <c r="G24" s="332"/>
      <c r="H24" s="333"/>
      <c r="I24" s="332">
        <f t="shared" si="0"/>
        <v>200000</v>
      </c>
    </row>
    <row r="25" spans="2:9" ht="25.5" customHeight="1">
      <c r="B25" s="334" t="s">
        <v>444</v>
      </c>
      <c r="C25" s="335" t="s">
        <v>288</v>
      </c>
      <c r="D25" s="336" t="s">
        <v>452</v>
      </c>
      <c r="E25" s="340"/>
      <c r="F25" s="337">
        <v>320000</v>
      </c>
      <c r="G25" s="332">
        <v>0</v>
      </c>
      <c r="H25" s="333">
        <v>0</v>
      </c>
      <c r="I25" s="332">
        <f t="shared" si="0"/>
        <v>320000</v>
      </c>
    </row>
    <row r="26" spans="2:9" ht="22.5" customHeight="1">
      <c r="B26" s="334" t="s">
        <v>448</v>
      </c>
      <c r="C26" s="335" t="s">
        <v>296</v>
      </c>
      <c r="D26" s="336" t="s">
        <v>452</v>
      </c>
      <c r="E26" s="340"/>
      <c r="F26" s="337">
        <v>160000</v>
      </c>
      <c r="G26" s="332">
        <v>0</v>
      </c>
      <c r="H26" s="333">
        <v>0</v>
      </c>
      <c r="I26" s="332">
        <f t="shared" si="0"/>
        <v>160000</v>
      </c>
    </row>
    <row r="27" spans="2:9" ht="19.5" customHeight="1">
      <c r="B27" s="323" t="s">
        <v>22</v>
      </c>
      <c r="C27" s="324"/>
      <c r="D27" s="325"/>
      <c r="E27" s="324"/>
      <c r="F27" s="326">
        <v>3984000</v>
      </c>
      <c r="G27" s="332"/>
      <c r="H27" s="333"/>
      <c r="I27" s="332"/>
    </row>
    <row r="28" spans="2:9" ht="24" customHeight="1">
      <c r="B28" s="334" t="s">
        <v>444</v>
      </c>
      <c r="C28" s="335" t="s">
        <v>290</v>
      </c>
      <c r="D28" s="336" t="s">
        <v>101</v>
      </c>
      <c r="E28" s="335" t="s">
        <v>453</v>
      </c>
      <c r="F28" s="337">
        <v>3300000</v>
      </c>
      <c r="G28" s="332">
        <v>0</v>
      </c>
      <c r="H28" s="333">
        <v>0</v>
      </c>
      <c r="I28" s="332">
        <f t="shared" si="0"/>
        <v>3300000</v>
      </c>
    </row>
    <row r="29" spans="2:9" ht="24" customHeight="1">
      <c r="B29" s="334" t="s">
        <v>448</v>
      </c>
      <c r="C29" s="335" t="s">
        <v>296</v>
      </c>
      <c r="D29" s="336" t="s">
        <v>104</v>
      </c>
      <c r="E29" s="335" t="s">
        <v>454</v>
      </c>
      <c r="F29" s="337">
        <v>384000</v>
      </c>
      <c r="G29" s="332"/>
      <c r="H29" s="333"/>
      <c r="I29" s="332">
        <f t="shared" si="0"/>
        <v>384000</v>
      </c>
    </row>
    <row r="30" spans="2:9" ht="24" customHeight="1">
      <c r="B30" s="334" t="s">
        <v>448</v>
      </c>
      <c r="C30" s="335" t="s">
        <v>296</v>
      </c>
      <c r="D30" s="336" t="s">
        <v>449</v>
      </c>
      <c r="E30" s="335"/>
      <c r="F30" s="337">
        <v>300000</v>
      </c>
      <c r="G30" s="332"/>
      <c r="H30" s="333"/>
      <c r="I30" s="332">
        <f t="shared" si="0"/>
        <v>300000</v>
      </c>
    </row>
    <row r="31" spans="2:9" ht="19.5" customHeight="1">
      <c r="B31" s="323" t="s">
        <v>23</v>
      </c>
      <c r="C31" s="324"/>
      <c r="D31" s="325"/>
      <c r="E31" s="324"/>
      <c r="F31" s="326">
        <v>3295000</v>
      </c>
      <c r="G31" s="332"/>
      <c r="H31" s="333"/>
      <c r="I31" s="332"/>
    </row>
    <row r="32" spans="2:9" ht="24" customHeight="1">
      <c r="B32" s="334" t="s">
        <v>439</v>
      </c>
      <c r="C32" s="335" t="s">
        <v>440</v>
      </c>
      <c r="D32" s="336" t="s">
        <v>455</v>
      </c>
      <c r="E32" s="335" t="s">
        <v>456</v>
      </c>
      <c r="F32" s="337">
        <v>278000</v>
      </c>
      <c r="G32" s="332"/>
      <c r="H32" s="333"/>
      <c r="I32" s="332">
        <f t="shared" si="0"/>
        <v>278000</v>
      </c>
    </row>
    <row r="33" spans="2:9" ht="24" customHeight="1">
      <c r="B33" s="334" t="s">
        <v>457</v>
      </c>
      <c r="C33" s="335" t="s">
        <v>310</v>
      </c>
      <c r="D33" s="336" t="s">
        <v>455</v>
      </c>
      <c r="E33" s="335" t="s">
        <v>458</v>
      </c>
      <c r="F33" s="337">
        <v>570000</v>
      </c>
      <c r="G33" s="332"/>
      <c r="H33" s="333"/>
      <c r="I33" s="332">
        <f t="shared" si="0"/>
        <v>570000</v>
      </c>
    </row>
    <row r="34" spans="2:9" ht="24" customHeight="1">
      <c r="B34" s="334" t="s">
        <v>457</v>
      </c>
      <c r="C34" s="335" t="s">
        <v>310</v>
      </c>
      <c r="D34" s="336" t="s">
        <v>459</v>
      </c>
      <c r="E34" s="335" t="s">
        <v>460</v>
      </c>
      <c r="F34" s="337">
        <v>2447000</v>
      </c>
      <c r="G34" s="332"/>
      <c r="H34" s="333"/>
      <c r="I34" s="332">
        <f t="shared" si="0"/>
        <v>2447000</v>
      </c>
    </row>
    <row r="35" spans="2:9" ht="19.5" customHeight="1">
      <c r="B35" s="341"/>
      <c r="C35" s="342"/>
      <c r="D35" s="343"/>
      <c r="E35" s="342"/>
      <c r="F35" s="344"/>
      <c r="G35" s="344"/>
      <c r="H35" s="345"/>
      <c r="I35" s="344">
        <f t="shared" si="0"/>
        <v>0</v>
      </c>
    </row>
    <row r="36" spans="1:9" s="350" customFormat="1" ht="19.5" customHeight="1">
      <c r="A36" s="346"/>
      <c r="B36" s="315" t="s">
        <v>117</v>
      </c>
      <c r="C36" s="316"/>
      <c r="D36" s="317"/>
      <c r="E36" s="316"/>
      <c r="F36" s="347">
        <f>+F31+F27+F22+F17+F15+F9+F6+F20</f>
        <v>13109930.02</v>
      </c>
      <c r="G36" s="347">
        <f>SUM(G16:G35)</f>
        <v>0</v>
      </c>
      <c r="H36" s="348">
        <f>SUM(H16:H35)</f>
        <v>0</v>
      </c>
      <c r="I36" s="349">
        <f>SUM(F36+G36-H36)</f>
        <v>13109930.02</v>
      </c>
    </row>
    <row r="37" spans="1:9" s="350" customFormat="1" ht="19.5" customHeight="1">
      <c r="A37" s="346"/>
      <c r="B37" s="500"/>
      <c r="C37" s="500"/>
      <c r="D37" s="500"/>
      <c r="E37" s="500"/>
      <c r="F37" s="501"/>
      <c r="G37" s="501"/>
      <c r="H37" s="501"/>
      <c r="I37" s="502"/>
    </row>
    <row r="38" spans="1:9" s="350" customFormat="1" ht="19.5" customHeight="1">
      <c r="A38" s="346"/>
      <c r="B38" s="500"/>
      <c r="C38" s="500"/>
      <c r="D38" s="500"/>
      <c r="E38" s="500"/>
      <c r="F38" s="501"/>
      <c r="G38" s="501"/>
      <c r="H38" s="501"/>
      <c r="I38" s="502"/>
    </row>
    <row r="39" spans="2:9" ht="19.5" customHeight="1">
      <c r="B39" s="351" t="s">
        <v>262</v>
      </c>
      <c r="G39" s="350"/>
      <c r="H39" s="350"/>
      <c r="I39" s="352"/>
    </row>
    <row r="40" spans="1:9" ht="19.5" customHeight="1">
      <c r="A40" s="353"/>
      <c r="B40" s="315" t="s">
        <v>78</v>
      </c>
      <c r="C40" s="316" t="s">
        <v>79</v>
      </c>
      <c r="D40" s="316" t="s">
        <v>432</v>
      </c>
      <c r="E40" s="317" t="s">
        <v>80</v>
      </c>
      <c r="F40" s="316" t="s">
        <v>433</v>
      </c>
      <c r="G40" s="316" t="s">
        <v>160</v>
      </c>
      <c r="H40" s="316" t="s">
        <v>161</v>
      </c>
      <c r="I40" s="316" t="s">
        <v>116</v>
      </c>
    </row>
    <row r="41" spans="1:9" ht="24" customHeight="1">
      <c r="A41" s="353"/>
      <c r="B41" s="354" t="s">
        <v>439</v>
      </c>
      <c r="C41" s="355" t="s">
        <v>461</v>
      </c>
      <c r="D41" s="355" t="s">
        <v>462</v>
      </c>
      <c r="E41" s="356" t="s">
        <v>463</v>
      </c>
      <c r="F41" s="357">
        <v>18558</v>
      </c>
      <c r="G41" s="358">
        <v>0</v>
      </c>
      <c r="H41" s="358">
        <v>0</v>
      </c>
      <c r="I41" s="358">
        <f aca="true" t="shared" si="1" ref="I41:I49">SUM(F41+G41-H41)</f>
        <v>18558</v>
      </c>
    </row>
    <row r="42" spans="1:9" ht="24" customHeight="1">
      <c r="A42" s="353"/>
      <c r="B42" s="334" t="s">
        <v>439</v>
      </c>
      <c r="C42" s="335" t="s">
        <v>461</v>
      </c>
      <c r="D42" s="335" t="s">
        <v>464</v>
      </c>
      <c r="E42" s="336" t="s">
        <v>463</v>
      </c>
      <c r="F42" s="337">
        <v>18900</v>
      </c>
      <c r="G42" s="332">
        <v>0</v>
      </c>
      <c r="H42" s="332">
        <v>0</v>
      </c>
      <c r="I42" s="332">
        <f t="shared" si="1"/>
        <v>18900</v>
      </c>
    </row>
    <row r="43" spans="1:9" ht="24" customHeight="1">
      <c r="A43" s="353"/>
      <c r="B43" s="334" t="s">
        <v>439</v>
      </c>
      <c r="C43" s="335" t="s">
        <v>461</v>
      </c>
      <c r="D43" s="335" t="s">
        <v>464</v>
      </c>
      <c r="E43" s="336" t="s">
        <v>463</v>
      </c>
      <c r="F43" s="337">
        <v>41843</v>
      </c>
      <c r="G43" s="332">
        <v>0</v>
      </c>
      <c r="H43" s="332">
        <v>0</v>
      </c>
      <c r="I43" s="332">
        <f t="shared" si="1"/>
        <v>41843</v>
      </c>
    </row>
    <row r="44" spans="1:9" ht="24" customHeight="1">
      <c r="A44" s="353"/>
      <c r="B44" s="334" t="s">
        <v>448</v>
      </c>
      <c r="C44" s="335" t="s">
        <v>465</v>
      </c>
      <c r="D44" s="335" t="s">
        <v>466</v>
      </c>
      <c r="E44" s="336" t="s">
        <v>463</v>
      </c>
      <c r="F44" s="337">
        <v>9870</v>
      </c>
      <c r="G44" s="332">
        <v>0</v>
      </c>
      <c r="H44" s="332">
        <v>0</v>
      </c>
      <c r="I44" s="332">
        <f t="shared" si="1"/>
        <v>9870</v>
      </c>
    </row>
    <row r="45" spans="1:9" ht="24" customHeight="1">
      <c r="A45" s="353"/>
      <c r="B45" s="334" t="s">
        <v>448</v>
      </c>
      <c r="C45" s="335" t="s">
        <v>465</v>
      </c>
      <c r="D45" s="335" t="s">
        <v>467</v>
      </c>
      <c r="E45" s="336" t="s">
        <v>463</v>
      </c>
      <c r="F45" s="337">
        <v>4200</v>
      </c>
      <c r="G45" s="332">
        <v>0</v>
      </c>
      <c r="H45" s="332">
        <v>0</v>
      </c>
      <c r="I45" s="332">
        <f t="shared" si="1"/>
        <v>4200</v>
      </c>
    </row>
    <row r="46" spans="1:9" ht="24" customHeight="1">
      <c r="A46" s="353"/>
      <c r="B46" s="334" t="s">
        <v>468</v>
      </c>
      <c r="C46" s="335" t="s">
        <v>17</v>
      </c>
      <c r="D46" s="335" t="s">
        <v>469</v>
      </c>
      <c r="E46" s="336" t="s">
        <v>463</v>
      </c>
      <c r="F46" s="337">
        <v>590</v>
      </c>
      <c r="G46" s="332">
        <v>0</v>
      </c>
      <c r="H46" s="332">
        <v>0</v>
      </c>
      <c r="I46" s="332">
        <f t="shared" si="1"/>
        <v>590</v>
      </c>
    </row>
    <row r="47" spans="1:9" ht="24" customHeight="1">
      <c r="A47" s="353"/>
      <c r="B47" s="359" t="s">
        <v>468</v>
      </c>
      <c r="C47" s="360" t="s">
        <v>17</v>
      </c>
      <c r="D47" s="360" t="s">
        <v>470</v>
      </c>
      <c r="E47" s="361" t="s">
        <v>463</v>
      </c>
      <c r="F47" s="362">
        <v>937.5</v>
      </c>
      <c r="G47" s="363">
        <v>0</v>
      </c>
      <c r="H47" s="363">
        <v>0</v>
      </c>
      <c r="I47" s="363">
        <f t="shared" si="1"/>
        <v>937.5</v>
      </c>
    </row>
    <row r="48" spans="1:9" s="350" customFormat="1" ht="19.5" customHeight="1">
      <c r="A48" s="346"/>
      <c r="B48" s="315" t="s">
        <v>117</v>
      </c>
      <c r="C48" s="316"/>
      <c r="D48" s="316"/>
      <c r="E48" s="317"/>
      <c r="F48" s="347">
        <f>SUM(F41:F47)</f>
        <v>94898.5</v>
      </c>
      <c r="G48" s="347">
        <f>SUM(G28:G47)</f>
        <v>0</v>
      </c>
      <c r="H48" s="347">
        <f>SUM(H28:H47)</f>
        <v>0</v>
      </c>
      <c r="I48" s="349">
        <f t="shared" si="1"/>
        <v>94898.5</v>
      </c>
    </row>
    <row r="49" spans="2:9" ht="19.5" customHeight="1">
      <c r="B49" s="637" t="s">
        <v>471</v>
      </c>
      <c r="C49" s="638"/>
      <c r="D49" s="638"/>
      <c r="E49" s="638"/>
      <c r="F49" s="364">
        <f>+F48+F36</f>
        <v>13204828.52</v>
      </c>
      <c r="G49" s="365">
        <f>+G48+G36</f>
        <v>0</v>
      </c>
      <c r="H49" s="366">
        <f>+H48+H36</f>
        <v>0</v>
      </c>
      <c r="I49" s="367">
        <f t="shared" si="1"/>
        <v>13204828.52</v>
      </c>
    </row>
  </sheetData>
  <sheetProtection/>
  <mergeCells count="4">
    <mergeCell ref="B49:E49"/>
    <mergeCell ref="B1:I1"/>
    <mergeCell ref="B2:I2"/>
    <mergeCell ref="B3:I3"/>
  </mergeCells>
  <printOptions/>
  <pageMargins left="0.2362204724409449" right="0.2755905511811024" top="0.3937007874015748" bottom="0.35433070866141736" header="0.2362204724409449" footer="0.2362204724409449"/>
  <pageSetup horizontalDpi="600" verticalDpi="600" orientation="portrait" paperSize="9" r:id="rId2"/>
  <headerFooter alignWithMargins="0">
    <oddHeader>&amp;Rหน้าที่ 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7">
      <selection activeCell="A12" sqref="A12"/>
    </sheetView>
  </sheetViews>
  <sheetFormatPr defaultColWidth="9.140625" defaultRowHeight="12.75"/>
  <cols>
    <col min="1" max="1" width="50.57421875" style="1" customWidth="1"/>
    <col min="2" max="2" width="10.57421875" style="1" customWidth="1"/>
    <col min="3" max="3" width="21.8515625" style="1" customWidth="1"/>
    <col min="4" max="4" width="12.421875" style="1" bestFit="1" customWidth="1"/>
    <col min="5" max="16384" width="9.140625" style="1" customWidth="1"/>
  </cols>
  <sheetData>
    <row r="1" spans="1:3" s="5" customFormat="1" ht="21">
      <c r="A1" s="611" t="s">
        <v>164</v>
      </c>
      <c r="B1" s="611"/>
      <c r="C1" s="611"/>
    </row>
    <row r="2" spans="1:3" s="5" customFormat="1" ht="21">
      <c r="A2" s="611" t="s">
        <v>48</v>
      </c>
      <c r="B2" s="611"/>
      <c r="C2" s="611"/>
    </row>
    <row r="3" spans="1:3" s="5" customFormat="1" ht="18">
      <c r="A3" s="641" t="s">
        <v>406</v>
      </c>
      <c r="B3" s="641"/>
      <c r="C3" s="641"/>
    </row>
    <row r="4" spans="1:3" s="15" customFormat="1" ht="22.5" customHeight="1">
      <c r="A4" s="6" t="s">
        <v>13</v>
      </c>
      <c r="B4" s="6" t="s">
        <v>122</v>
      </c>
      <c r="C4" s="6" t="s">
        <v>407</v>
      </c>
    </row>
    <row r="5" spans="1:3" ht="24" customHeight="1">
      <c r="A5" s="309" t="s">
        <v>408</v>
      </c>
      <c r="B5" s="7"/>
      <c r="C5" s="7"/>
    </row>
    <row r="6" spans="1:3" ht="21.75" customHeight="1">
      <c r="A6" s="250" t="s">
        <v>409</v>
      </c>
      <c r="B6" s="310" t="s">
        <v>410</v>
      </c>
      <c r="C6" s="253">
        <v>12153.01</v>
      </c>
    </row>
    <row r="7" spans="1:3" ht="21.75" customHeight="1">
      <c r="A7" s="250" t="s">
        <v>411</v>
      </c>
      <c r="B7" s="310" t="s">
        <v>412</v>
      </c>
      <c r="C7" s="253">
        <v>30947.8</v>
      </c>
    </row>
    <row r="8" spans="1:3" ht="21.75" customHeight="1">
      <c r="A8" s="250" t="s">
        <v>413</v>
      </c>
      <c r="B8" s="310" t="s">
        <v>414</v>
      </c>
      <c r="C8" s="253">
        <v>18715.62</v>
      </c>
    </row>
    <row r="9" spans="1:3" ht="21.75" customHeight="1">
      <c r="A9" s="250" t="s">
        <v>415</v>
      </c>
      <c r="B9" s="310" t="s">
        <v>416</v>
      </c>
      <c r="C9" s="253">
        <v>775000</v>
      </c>
    </row>
    <row r="10" spans="1:3" ht="21.75" customHeight="1">
      <c r="A10" s="250" t="s">
        <v>417</v>
      </c>
      <c r="B10" s="310" t="s">
        <v>418</v>
      </c>
      <c r="C10" s="253">
        <v>534714</v>
      </c>
    </row>
    <row r="11" spans="1:3" ht="21.75" customHeight="1">
      <c r="A11" s="250" t="s">
        <v>687</v>
      </c>
      <c r="B11" s="310" t="s">
        <v>420</v>
      </c>
      <c r="C11" s="253">
        <v>3949</v>
      </c>
    </row>
    <row r="12" spans="1:3" ht="21.75" customHeight="1">
      <c r="A12" s="250" t="s">
        <v>421</v>
      </c>
      <c r="B12" s="310" t="s">
        <v>420</v>
      </c>
      <c r="C12" s="253">
        <v>13600</v>
      </c>
    </row>
    <row r="13" spans="1:3" ht="21.75" customHeight="1">
      <c r="A13" s="250" t="s">
        <v>422</v>
      </c>
      <c r="B13" s="310" t="s">
        <v>423</v>
      </c>
      <c r="C13" s="253">
        <v>19.4</v>
      </c>
    </row>
    <row r="14" spans="1:3" ht="21.75" customHeight="1">
      <c r="A14" s="250" t="s">
        <v>424</v>
      </c>
      <c r="B14" s="310" t="s">
        <v>423</v>
      </c>
      <c r="C14" s="253">
        <v>25890</v>
      </c>
    </row>
    <row r="15" spans="1:3" ht="21.75" customHeight="1">
      <c r="A15" s="250" t="s">
        <v>425</v>
      </c>
      <c r="B15" s="310" t="s">
        <v>423</v>
      </c>
      <c r="C15" s="253">
        <v>650561.9</v>
      </c>
    </row>
    <row r="16" spans="1:3" ht="21.75" customHeight="1">
      <c r="A16" s="250" t="s">
        <v>426</v>
      </c>
      <c r="B16" s="310" t="s">
        <v>423</v>
      </c>
      <c r="C16" s="253">
        <v>10000</v>
      </c>
    </row>
    <row r="17" spans="1:3" ht="21.75" customHeight="1">
      <c r="A17" s="250" t="s">
        <v>427</v>
      </c>
      <c r="B17" s="310" t="s">
        <v>423</v>
      </c>
      <c r="C17" s="253">
        <v>32490</v>
      </c>
    </row>
    <row r="18" spans="1:3" ht="21.75" customHeight="1">
      <c r="A18" s="250" t="s">
        <v>428</v>
      </c>
      <c r="B18" s="310" t="s">
        <v>423</v>
      </c>
      <c r="C18" s="253">
        <v>3429.15</v>
      </c>
    </row>
    <row r="19" spans="1:3" ht="21.75" customHeight="1">
      <c r="A19" s="250" t="s">
        <v>429</v>
      </c>
      <c r="B19" s="310" t="s">
        <v>423</v>
      </c>
      <c r="C19" s="253">
        <v>35480.96</v>
      </c>
    </row>
    <row r="20" spans="1:3" s="5" customFormat="1" ht="24" customHeight="1" thickBot="1">
      <c r="A20" s="6" t="s">
        <v>430</v>
      </c>
      <c r="B20" s="311"/>
      <c r="C20" s="312">
        <f>SUM(C6:C19)</f>
        <v>2146950.84</v>
      </c>
    </row>
    <row r="21" ht="18" thickTop="1"/>
  </sheetData>
  <sheetProtection/>
  <mergeCells count="3">
    <mergeCell ref="A1:C1"/>
    <mergeCell ref="A2:C2"/>
    <mergeCell ref="A3:C3"/>
  </mergeCells>
  <printOptions/>
  <pageMargins left="1.03" right="0.24" top="0.43" bottom="0.28" header="0.56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21" customHeight="1"/>
  <cols>
    <col min="1" max="1" width="17.7109375" style="2" customWidth="1"/>
    <col min="2" max="2" width="18.00390625" style="11" customWidth="1"/>
    <col min="3" max="3" width="19.00390625" style="2" customWidth="1"/>
    <col min="4" max="4" width="22.7109375" style="2" customWidth="1"/>
    <col min="5" max="5" width="4.421875" style="2" customWidth="1"/>
    <col min="6" max="6" width="19.140625" style="2" customWidth="1"/>
    <col min="7" max="7" width="20.7109375" style="2" customWidth="1"/>
    <col min="8" max="16384" width="9.140625" style="1" customWidth="1"/>
  </cols>
  <sheetData>
    <row r="1" spans="1:6" ht="21" customHeight="1">
      <c r="A1" s="611" t="s">
        <v>167</v>
      </c>
      <c r="B1" s="611"/>
      <c r="C1" s="611"/>
      <c r="D1" s="611"/>
      <c r="E1" s="611"/>
      <c r="F1" s="611"/>
    </row>
    <row r="2" spans="1:6" ht="21" customHeight="1">
      <c r="A2" s="611" t="s">
        <v>377</v>
      </c>
      <c r="B2" s="611"/>
      <c r="C2" s="611"/>
      <c r="D2" s="611"/>
      <c r="E2" s="611"/>
      <c r="F2" s="611"/>
    </row>
    <row r="3" spans="1:6" ht="21" customHeight="1">
      <c r="A3" s="644" t="s">
        <v>378</v>
      </c>
      <c r="B3" s="644"/>
      <c r="C3" s="644"/>
      <c r="D3" s="644"/>
      <c r="E3" s="644"/>
      <c r="F3" s="644"/>
    </row>
    <row r="4" spans="1:6" ht="21" customHeight="1">
      <c r="A4" s="642" t="s">
        <v>13</v>
      </c>
      <c r="B4" s="270"/>
      <c r="C4" s="642" t="s">
        <v>123</v>
      </c>
      <c r="D4" s="642" t="s">
        <v>379</v>
      </c>
      <c r="E4" s="271" t="s">
        <v>93</v>
      </c>
      <c r="F4" s="272" t="s">
        <v>380</v>
      </c>
    </row>
    <row r="5" spans="1:6" ht="21" customHeight="1">
      <c r="A5" s="643"/>
      <c r="B5" s="273"/>
      <c r="C5" s="643"/>
      <c r="D5" s="643"/>
      <c r="E5" s="274" t="s">
        <v>94</v>
      </c>
      <c r="F5" s="275" t="s">
        <v>381</v>
      </c>
    </row>
    <row r="6" spans="1:6" ht="21" customHeight="1">
      <c r="A6" s="276" t="s">
        <v>382</v>
      </c>
      <c r="B6" s="277"/>
      <c r="C6" s="7"/>
      <c r="D6" s="7"/>
      <c r="E6" s="21"/>
      <c r="F6" s="7"/>
    </row>
    <row r="7" spans="1:6" ht="21" customHeight="1">
      <c r="A7" s="278" t="s">
        <v>383</v>
      </c>
      <c r="B7" s="279"/>
      <c r="C7" s="8">
        <v>7915400</v>
      </c>
      <c r="D7" s="8">
        <f>8216681.75+85043.23</f>
        <v>8301724.98</v>
      </c>
      <c r="E7" s="280" t="s">
        <v>94</v>
      </c>
      <c r="F7" s="281">
        <f>+D7-C7</f>
        <v>386324.98000000045</v>
      </c>
    </row>
    <row r="8" spans="1:6" ht="21" customHeight="1">
      <c r="A8" s="278" t="s">
        <v>384</v>
      </c>
      <c r="B8" s="279"/>
      <c r="C8" s="8">
        <v>40212500</v>
      </c>
      <c r="D8" s="8">
        <v>44740531.97</v>
      </c>
      <c r="E8" s="280" t="s">
        <v>94</v>
      </c>
      <c r="F8" s="281">
        <f aca="true" t="shared" si="0" ref="F8:F13">+D8-C8</f>
        <v>4528031.969999999</v>
      </c>
    </row>
    <row r="9" spans="1:6" ht="21" customHeight="1">
      <c r="A9" s="278" t="s">
        <v>385</v>
      </c>
      <c r="B9" s="279"/>
      <c r="C9" s="8">
        <v>2611100</v>
      </c>
      <c r="D9" s="8">
        <v>2196815.2</v>
      </c>
      <c r="E9" s="280" t="s">
        <v>94</v>
      </c>
      <c r="F9" s="281">
        <f t="shared" si="0"/>
        <v>-414284.7999999998</v>
      </c>
    </row>
    <row r="10" spans="1:6" ht="21" customHeight="1">
      <c r="A10" s="278" t="s">
        <v>386</v>
      </c>
      <c r="B10" s="279"/>
      <c r="C10" s="8">
        <v>1245000</v>
      </c>
      <c r="D10" s="8">
        <v>811291.94</v>
      </c>
      <c r="E10" s="280" t="s">
        <v>94</v>
      </c>
      <c r="F10" s="281">
        <f t="shared" si="0"/>
        <v>-433708.06000000006</v>
      </c>
    </row>
    <row r="11" spans="1:6" ht="21" customHeight="1">
      <c r="A11" s="278" t="s">
        <v>387</v>
      </c>
      <c r="B11" s="279"/>
      <c r="C11" s="8">
        <v>1300000</v>
      </c>
      <c r="D11" s="17">
        <v>1215242</v>
      </c>
      <c r="E11" s="280" t="s">
        <v>94</v>
      </c>
      <c r="F11" s="281">
        <f t="shared" si="0"/>
        <v>-84758</v>
      </c>
    </row>
    <row r="12" spans="1:6" ht="21" customHeight="1">
      <c r="A12" s="278" t="s">
        <v>388</v>
      </c>
      <c r="B12" s="279"/>
      <c r="C12" s="8">
        <v>120000</v>
      </c>
      <c r="D12" s="8">
        <v>61360</v>
      </c>
      <c r="E12" s="280" t="s">
        <v>94</v>
      </c>
      <c r="F12" s="281">
        <f t="shared" si="0"/>
        <v>-58640</v>
      </c>
    </row>
    <row r="13" spans="1:6" ht="21" customHeight="1">
      <c r="A13" s="278" t="s">
        <v>389</v>
      </c>
      <c r="B13" s="279"/>
      <c r="C13" s="8">
        <v>20000</v>
      </c>
      <c r="D13" s="8">
        <v>37690</v>
      </c>
      <c r="E13" s="280" t="s">
        <v>94</v>
      </c>
      <c r="F13" s="281">
        <f t="shared" si="0"/>
        <v>17690</v>
      </c>
    </row>
    <row r="14" spans="1:6" ht="21" customHeight="1">
      <c r="A14" s="278" t="s">
        <v>390</v>
      </c>
      <c r="B14" s="279"/>
      <c r="C14" s="8">
        <f>16000000+10576000</f>
        <v>26576000</v>
      </c>
      <c r="D14" s="18">
        <f>3476786+21074153</f>
        <v>24550939</v>
      </c>
      <c r="E14" s="275" t="s">
        <v>93</v>
      </c>
      <c r="F14" s="282">
        <f>+D14-C14</f>
        <v>-2025061</v>
      </c>
    </row>
    <row r="15" spans="1:6" ht="21" customHeight="1">
      <c r="A15" s="283" t="s">
        <v>134</v>
      </c>
      <c r="B15" s="284"/>
      <c r="C15" s="285">
        <f>SUM(C7:C14)</f>
        <v>80000000</v>
      </c>
      <c r="D15" s="286">
        <f>SUM(D7:D14)</f>
        <v>81915595.09</v>
      </c>
      <c r="E15" s="287" t="s">
        <v>94</v>
      </c>
      <c r="F15" s="288">
        <f>SUM(F7:F14)</f>
        <v>1915595.0899999994</v>
      </c>
    </row>
    <row r="16" spans="1:6" ht="21" customHeight="1">
      <c r="A16" s="289" t="s">
        <v>163</v>
      </c>
      <c r="B16" s="19"/>
      <c r="C16" s="8">
        <v>0</v>
      </c>
      <c r="D16" s="20">
        <v>487050.5</v>
      </c>
      <c r="E16" s="290" t="s">
        <v>93</v>
      </c>
      <c r="F16" s="20">
        <f>+D16</f>
        <v>487050.5</v>
      </c>
    </row>
    <row r="17" spans="1:6" ht="21" customHeight="1" thickBot="1">
      <c r="A17" s="291" t="s">
        <v>135</v>
      </c>
      <c r="B17" s="292"/>
      <c r="C17" s="293">
        <v>0</v>
      </c>
      <c r="D17" s="294">
        <f>+D16+D15</f>
        <v>82402645.59</v>
      </c>
      <c r="E17" s="295" t="s">
        <v>94</v>
      </c>
      <c r="F17" s="294">
        <v>0</v>
      </c>
    </row>
    <row r="18" spans="1:6" ht="21" customHeight="1" thickTop="1">
      <c r="A18" s="296" t="s">
        <v>95</v>
      </c>
      <c r="B18" s="297"/>
      <c r="C18" s="8"/>
      <c r="D18" s="8"/>
      <c r="E18" s="22"/>
      <c r="F18" s="8"/>
    </row>
    <row r="19" spans="1:6" ht="21" customHeight="1">
      <c r="A19" s="278" t="s">
        <v>391</v>
      </c>
      <c r="B19" s="279"/>
      <c r="C19" s="17">
        <f>10593851.5-17059.5</f>
        <v>10576792</v>
      </c>
      <c r="D19" s="17">
        <v>8765251.91</v>
      </c>
      <c r="E19" s="280" t="s">
        <v>94</v>
      </c>
      <c r="F19" s="8">
        <f>+C19-D19</f>
        <v>1811540.0899999999</v>
      </c>
    </row>
    <row r="20" spans="1:6" ht="21" customHeight="1">
      <c r="A20" s="278" t="s">
        <v>392</v>
      </c>
      <c r="B20" s="279"/>
      <c r="C20" s="8">
        <v>1783880</v>
      </c>
      <c r="D20" s="17">
        <v>1783800</v>
      </c>
      <c r="E20" s="280" t="s">
        <v>94</v>
      </c>
      <c r="F20" s="8">
        <f aca="true" t="shared" si="1" ref="F20:F29">+C20-D20</f>
        <v>80</v>
      </c>
    </row>
    <row r="21" spans="1:6" ht="21" customHeight="1">
      <c r="A21" s="278" t="s">
        <v>393</v>
      </c>
      <c r="B21" s="279"/>
      <c r="C21" s="8">
        <f>19702243-419591</f>
        <v>19282652</v>
      </c>
      <c r="D21" s="17">
        <v>15000295</v>
      </c>
      <c r="E21" s="280" t="s">
        <v>94</v>
      </c>
      <c r="F21" s="8">
        <f t="shared" si="1"/>
        <v>4282357</v>
      </c>
    </row>
    <row r="22" spans="1:6" ht="21" customHeight="1">
      <c r="A22" s="278" t="s">
        <v>394</v>
      </c>
      <c r="B22" s="279"/>
      <c r="C22" s="17">
        <f>2855400-50400</f>
        <v>2805000</v>
      </c>
      <c r="D22" s="17">
        <v>2215390</v>
      </c>
      <c r="E22" s="280" t="s">
        <v>94</v>
      </c>
      <c r="F22" s="8">
        <f t="shared" si="1"/>
        <v>589610</v>
      </c>
    </row>
    <row r="23" spans="1:6" ht="21" customHeight="1">
      <c r="A23" s="278" t="s">
        <v>395</v>
      </c>
      <c r="B23" s="279"/>
      <c r="C23" s="17">
        <v>10004300</v>
      </c>
      <c r="D23" s="17">
        <v>6365865.4</v>
      </c>
      <c r="E23" s="280" t="s">
        <v>94</v>
      </c>
      <c r="F23" s="8">
        <f t="shared" si="1"/>
        <v>3638434.5999999996</v>
      </c>
    </row>
    <row r="24" spans="1:6" ht="21" customHeight="1">
      <c r="A24" s="278" t="s">
        <v>396</v>
      </c>
      <c r="B24" s="279"/>
      <c r="C24" s="17">
        <v>8414752.14</v>
      </c>
      <c r="D24" s="17">
        <v>6339821.47</v>
      </c>
      <c r="E24" s="280" t="s">
        <v>94</v>
      </c>
      <c r="F24" s="8">
        <f t="shared" si="1"/>
        <v>2074930.6700000009</v>
      </c>
    </row>
    <row r="25" spans="1:6" ht="21" customHeight="1">
      <c r="A25" s="278" t="s">
        <v>397</v>
      </c>
      <c r="B25" s="279"/>
      <c r="C25" s="17">
        <v>1420000</v>
      </c>
      <c r="D25" s="17">
        <v>1107921.7</v>
      </c>
      <c r="E25" s="280" t="s">
        <v>94</v>
      </c>
      <c r="F25" s="8">
        <f t="shared" si="1"/>
        <v>312078.30000000005</v>
      </c>
    </row>
    <row r="26" spans="1:6" ht="21" customHeight="1">
      <c r="A26" s="278" t="s">
        <v>398</v>
      </c>
      <c r="B26" s="279"/>
      <c r="C26" s="17">
        <v>8349400</v>
      </c>
      <c r="D26" s="17">
        <v>6970649.36</v>
      </c>
      <c r="E26" s="280" t="s">
        <v>94</v>
      </c>
      <c r="F26" s="8">
        <f t="shared" si="1"/>
        <v>1378750.6399999997</v>
      </c>
    </row>
    <row r="27" spans="1:6" ht="21" customHeight="1">
      <c r="A27" s="278" t="s">
        <v>399</v>
      </c>
      <c r="B27" s="279"/>
      <c r="C27" s="17">
        <v>8887000</v>
      </c>
      <c r="D27" s="17">
        <v>7964022.98</v>
      </c>
      <c r="E27" s="280" t="s">
        <v>94</v>
      </c>
      <c r="F27" s="8">
        <f t="shared" si="1"/>
        <v>922977.0199999996</v>
      </c>
    </row>
    <row r="28" spans="1:6" ht="21" customHeight="1">
      <c r="A28" s="278" t="s">
        <v>400</v>
      </c>
      <c r="B28" s="279"/>
      <c r="C28" s="17">
        <v>20000</v>
      </c>
      <c r="D28" s="17">
        <v>20000</v>
      </c>
      <c r="E28" s="280" t="s">
        <v>94</v>
      </c>
      <c r="F28" s="8">
        <f t="shared" si="1"/>
        <v>0</v>
      </c>
    </row>
    <row r="29" spans="1:6" ht="21" customHeight="1">
      <c r="A29" s="278" t="s">
        <v>401</v>
      </c>
      <c r="B29" s="279"/>
      <c r="C29" s="298">
        <v>8456223.86</v>
      </c>
      <c r="D29" s="298">
        <v>8245023.86</v>
      </c>
      <c r="E29" s="275" t="s">
        <v>94</v>
      </c>
      <c r="F29" s="18">
        <f t="shared" si="1"/>
        <v>211199.99999999907</v>
      </c>
    </row>
    <row r="30" spans="1:6" ht="21" customHeight="1">
      <c r="A30" s="299" t="s">
        <v>402</v>
      </c>
      <c r="B30" s="300"/>
      <c r="C30" s="286">
        <f>SUM(C19:C29)</f>
        <v>80000000</v>
      </c>
      <c r="D30" s="286">
        <f>SUM(D19:D29)</f>
        <v>64778041.68000001</v>
      </c>
      <c r="E30" s="287" t="s">
        <v>94</v>
      </c>
      <c r="F30" s="286">
        <f>+C30-D30</f>
        <v>15221958.319999993</v>
      </c>
    </row>
    <row r="31" spans="1:6" ht="21" customHeight="1">
      <c r="A31" s="259" t="s">
        <v>403</v>
      </c>
      <c r="B31" s="301"/>
      <c r="C31" s="20"/>
      <c r="D31" s="18">
        <v>487050.5</v>
      </c>
      <c r="E31" s="280" t="s">
        <v>94</v>
      </c>
      <c r="F31" s="20">
        <v>0</v>
      </c>
    </row>
    <row r="32" spans="1:6" ht="21" customHeight="1" thickBot="1">
      <c r="A32" s="302" t="s">
        <v>404</v>
      </c>
      <c r="B32" s="303"/>
      <c r="C32" s="304"/>
      <c r="D32" s="294">
        <f>SUM(D30:D31)</f>
        <v>65265092.18000001</v>
      </c>
      <c r="E32" s="295" t="s">
        <v>94</v>
      </c>
      <c r="F32" s="294">
        <v>0</v>
      </c>
    </row>
    <row r="33" spans="1:6" ht="21" customHeight="1" thickBot="1" thickTop="1">
      <c r="A33" s="645" t="s">
        <v>405</v>
      </c>
      <c r="B33" s="645"/>
      <c r="C33" s="646"/>
      <c r="D33" s="306">
        <f>+D15-D30</f>
        <v>17137553.409999996</v>
      </c>
      <c r="E33" s="289"/>
      <c r="F33" s="307"/>
    </row>
    <row r="34" spans="1:6" ht="21" customHeight="1" thickTop="1">
      <c r="A34" s="305"/>
      <c r="B34" s="305"/>
      <c r="C34" s="305"/>
      <c r="D34" s="23"/>
      <c r="E34" s="11"/>
      <c r="F34" s="307"/>
    </row>
    <row r="35" spans="1:7" s="15" customFormat="1" ht="18.75" customHeight="1">
      <c r="A35" s="647" t="s">
        <v>190</v>
      </c>
      <c r="B35" s="647"/>
      <c r="C35" s="124"/>
      <c r="E35" s="124" t="s">
        <v>191</v>
      </c>
      <c r="G35" s="124"/>
    </row>
    <row r="36" spans="1:6" ht="18.75" customHeight="1">
      <c r="A36" s="125"/>
      <c r="B36" s="2"/>
      <c r="C36" s="14"/>
      <c r="D36" s="1"/>
      <c r="E36" s="126"/>
      <c r="F36" s="1"/>
    </row>
    <row r="37" spans="1:7" s="14" customFormat="1" ht="18.75" customHeight="1">
      <c r="A37" s="648" t="s">
        <v>192</v>
      </c>
      <c r="B37" s="648"/>
      <c r="C37" s="125"/>
      <c r="E37" s="125" t="s">
        <v>194</v>
      </c>
      <c r="G37" s="125"/>
    </row>
    <row r="38" spans="1:7" s="14" customFormat="1" ht="18.75" customHeight="1">
      <c r="A38" s="648" t="s">
        <v>195</v>
      </c>
      <c r="B38" s="648"/>
      <c r="C38" s="125"/>
      <c r="E38" s="125" t="s">
        <v>197</v>
      </c>
      <c r="G38" s="125"/>
    </row>
    <row r="39" spans="1:7" s="14" customFormat="1" ht="12.75" customHeight="1">
      <c r="A39" s="125"/>
      <c r="B39" s="125"/>
      <c r="C39" s="308"/>
      <c r="D39" s="125"/>
      <c r="E39" s="125"/>
      <c r="G39" s="125"/>
    </row>
    <row r="40" spans="1:7" s="5" customFormat="1" ht="18.75" customHeight="1">
      <c r="A40" s="621" t="s">
        <v>198</v>
      </c>
      <c r="B40" s="621"/>
      <c r="E40" s="128" t="s">
        <v>198</v>
      </c>
      <c r="F40" s="129"/>
      <c r="G40" s="24"/>
    </row>
    <row r="41" spans="1:6" ht="18.75" customHeight="1">
      <c r="A41" s="127"/>
      <c r="B41" s="2"/>
      <c r="C41" s="1"/>
      <c r="E41" s="126"/>
      <c r="F41" s="1"/>
    </row>
    <row r="42" spans="1:6" ht="18.75" customHeight="1">
      <c r="A42" s="620" t="s">
        <v>199</v>
      </c>
      <c r="B42" s="620"/>
      <c r="C42" s="1"/>
      <c r="E42" s="126" t="s">
        <v>200</v>
      </c>
      <c r="F42" s="1"/>
    </row>
    <row r="43" spans="1:6" ht="18.75" customHeight="1">
      <c r="A43" s="620" t="s">
        <v>201</v>
      </c>
      <c r="B43" s="620"/>
      <c r="C43" s="1"/>
      <c r="E43" s="126" t="s">
        <v>202</v>
      </c>
      <c r="F43" s="1"/>
    </row>
  </sheetData>
  <sheetProtection/>
  <mergeCells count="13">
    <mergeCell ref="A43:B43"/>
    <mergeCell ref="A4:A5"/>
    <mergeCell ref="C4:C5"/>
    <mergeCell ref="A33:C33"/>
    <mergeCell ref="A35:B35"/>
    <mergeCell ref="A37:B37"/>
    <mergeCell ref="A38:B38"/>
    <mergeCell ref="D4:D5"/>
    <mergeCell ref="A1:F1"/>
    <mergeCell ref="A2:F2"/>
    <mergeCell ref="A3:F3"/>
    <mergeCell ref="A40:B40"/>
    <mergeCell ref="A42:B42"/>
  </mergeCells>
  <printOptions/>
  <pageMargins left="0.55" right="0.2362204724409449" top="0.31496062992125984" bottom="0.31496062992125984" header="0.15748031496062992" footer="0.2362204724409449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4">
      <selection activeCell="G9" sqref="G9"/>
    </sheetView>
  </sheetViews>
  <sheetFormatPr defaultColWidth="9.140625" defaultRowHeight="18" customHeight="1"/>
  <cols>
    <col min="1" max="1" width="1.1484375" style="215" customWidth="1"/>
    <col min="2" max="2" width="21.00390625" style="215" customWidth="1"/>
    <col min="3" max="3" width="14.57421875" style="35" customWidth="1"/>
    <col min="4" max="4" width="14.28125" style="127" customWidth="1"/>
    <col min="5" max="5" width="15.00390625" style="127" customWidth="1"/>
    <col min="6" max="6" width="1.28515625" style="127" customWidth="1"/>
    <col min="7" max="7" width="38.8515625" style="127" customWidth="1"/>
    <col min="8" max="8" width="13.7109375" style="127" customWidth="1"/>
    <col min="9" max="9" width="15.00390625" style="127" customWidth="1"/>
    <col min="10" max="10" width="11.8515625" style="215" customWidth="1"/>
    <col min="11" max="16384" width="9.140625" style="215" customWidth="1"/>
  </cols>
  <sheetData>
    <row r="1" spans="2:9" ht="18" customHeight="1">
      <c r="B1" s="649" t="s">
        <v>167</v>
      </c>
      <c r="C1" s="649"/>
      <c r="D1" s="649"/>
      <c r="E1" s="649"/>
      <c r="F1" s="649"/>
      <c r="G1" s="649"/>
      <c r="H1" s="649"/>
      <c r="I1" s="649"/>
    </row>
    <row r="2" spans="2:9" ht="18" customHeight="1">
      <c r="B2" s="649" t="s">
        <v>479</v>
      </c>
      <c r="C2" s="649"/>
      <c r="D2" s="649"/>
      <c r="E2" s="649"/>
      <c r="F2" s="649"/>
      <c r="G2" s="649"/>
      <c r="H2" s="649"/>
      <c r="I2" s="649"/>
    </row>
    <row r="3" spans="1:9" ht="18" customHeight="1">
      <c r="A3" s="387"/>
      <c r="B3" s="650" t="s">
        <v>480</v>
      </c>
      <c r="C3" s="650"/>
      <c r="D3" s="650"/>
      <c r="E3" s="650"/>
      <c r="F3" s="650"/>
      <c r="G3" s="650"/>
      <c r="H3" s="650"/>
      <c r="I3" s="650"/>
    </row>
    <row r="4" spans="1:9" s="174" customFormat="1" ht="18" customHeight="1">
      <c r="A4" s="388"/>
      <c r="B4" s="389" t="s">
        <v>481</v>
      </c>
      <c r="C4" s="389"/>
      <c r="D4" s="390"/>
      <c r="E4" s="391"/>
      <c r="F4" s="392"/>
      <c r="G4" s="393" t="s">
        <v>482</v>
      </c>
      <c r="H4" s="392"/>
      <c r="I4" s="394"/>
    </row>
    <row r="5" spans="1:9" ht="18" customHeight="1" thickBot="1">
      <c r="A5" s="395"/>
      <c r="B5" s="396" t="s">
        <v>483</v>
      </c>
      <c r="C5" s="397"/>
      <c r="D5" s="398"/>
      <c r="E5" s="423">
        <v>49890559.53</v>
      </c>
      <c r="F5" s="307"/>
      <c r="G5" s="399" t="s">
        <v>484</v>
      </c>
      <c r="H5" s="398"/>
      <c r="I5" s="423">
        <f>+E5</f>
        <v>49890559.53</v>
      </c>
    </row>
    <row r="6" spans="1:9" ht="18" customHeight="1" thickTop="1">
      <c r="A6" s="395"/>
      <c r="B6" s="307" t="s">
        <v>234</v>
      </c>
      <c r="C6" s="307"/>
      <c r="D6" s="400">
        <v>0</v>
      </c>
      <c r="E6" s="401"/>
      <c r="F6" s="35"/>
      <c r="G6" s="35" t="s">
        <v>485</v>
      </c>
      <c r="H6" s="398">
        <v>26536951.66</v>
      </c>
      <c r="I6" s="402"/>
    </row>
    <row r="7" spans="1:9" ht="18" customHeight="1">
      <c r="A7" s="395"/>
      <c r="B7" s="307" t="s">
        <v>486</v>
      </c>
      <c r="C7" s="397"/>
      <c r="D7" s="403">
        <v>429111.25</v>
      </c>
      <c r="E7" s="401"/>
      <c r="F7" s="269"/>
      <c r="G7" s="396" t="s">
        <v>656</v>
      </c>
      <c r="H7" s="400">
        <v>13204828.52</v>
      </c>
      <c r="I7" s="404"/>
    </row>
    <row r="8" spans="1:9" ht="18" customHeight="1">
      <c r="A8" s="395"/>
      <c r="B8" s="307" t="s">
        <v>487</v>
      </c>
      <c r="C8" s="405"/>
      <c r="D8" s="403">
        <v>103120</v>
      </c>
      <c r="E8" s="401"/>
      <c r="F8" s="400"/>
      <c r="G8" s="396" t="s">
        <v>657</v>
      </c>
      <c r="H8" s="403">
        <v>2146950.84</v>
      </c>
      <c r="I8" s="404"/>
    </row>
    <row r="9" spans="1:9" ht="18" customHeight="1">
      <c r="A9" s="395"/>
      <c r="B9" s="307" t="s">
        <v>488</v>
      </c>
      <c r="C9" s="405"/>
      <c r="D9" s="406">
        <v>14060.22</v>
      </c>
      <c r="E9" s="407">
        <f>SUM(D6:D9)</f>
        <v>546291.47</v>
      </c>
      <c r="F9" s="269"/>
      <c r="G9" s="396"/>
      <c r="H9" s="406"/>
      <c r="I9" s="408">
        <f>SUM(H6:H9)</f>
        <v>41888731.019999996</v>
      </c>
    </row>
    <row r="10" spans="1:9" ht="18" customHeight="1">
      <c r="A10" s="395"/>
      <c r="B10" s="409" t="s">
        <v>489</v>
      </c>
      <c r="C10" s="397"/>
      <c r="D10" s="403"/>
      <c r="E10" s="401"/>
      <c r="F10" s="307"/>
      <c r="G10" s="410" t="s">
        <v>490</v>
      </c>
      <c r="H10" s="411">
        <v>21478645.97</v>
      </c>
      <c r="I10" s="401"/>
    </row>
    <row r="11" spans="1:9" ht="18" customHeight="1">
      <c r="A11" s="395"/>
      <c r="B11" s="307" t="s">
        <v>491</v>
      </c>
      <c r="C11" s="397"/>
      <c r="D11" s="403"/>
      <c r="E11" s="401"/>
      <c r="F11" s="307"/>
      <c r="G11" s="410" t="s">
        <v>492</v>
      </c>
      <c r="H11" s="411">
        <v>12853165.06</v>
      </c>
      <c r="I11" s="401"/>
    </row>
    <row r="12" spans="1:9" ht="18" customHeight="1">
      <c r="A12" s="395"/>
      <c r="B12" s="412" t="s">
        <v>493</v>
      </c>
      <c r="C12" s="413"/>
      <c r="D12" s="403">
        <v>221450.65</v>
      </c>
      <c r="E12" s="401"/>
      <c r="F12" s="307"/>
      <c r="G12" s="399" t="s">
        <v>494</v>
      </c>
      <c r="H12" s="400">
        <v>672996</v>
      </c>
      <c r="I12" s="401"/>
    </row>
    <row r="13" spans="1:9" ht="18" customHeight="1">
      <c r="A13" s="395"/>
      <c r="B13" s="412" t="s">
        <v>495</v>
      </c>
      <c r="C13" s="413"/>
      <c r="D13" s="398">
        <v>9267567.75</v>
      </c>
      <c r="E13" s="401"/>
      <c r="F13" s="307"/>
      <c r="G13" s="399" t="s">
        <v>496</v>
      </c>
      <c r="H13" s="400">
        <v>30000</v>
      </c>
      <c r="I13" s="401"/>
    </row>
    <row r="14" spans="1:9" ht="18" customHeight="1">
      <c r="A14" s="395"/>
      <c r="B14" s="412" t="s">
        <v>497</v>
      </c>
      <c r="C14" s="413"/>
      <c r="D14" s="414">
        <v>65369097.29</v>
      </c>
      <c r="E14" s="407">
        <f>SUM(D11:D14)</f>
        <v>74858115.69</v>
      </c>
      <c r="F14" s="307"/>
      <c r="G14" s="399" t="s">
        <v>498</v>
      </c>
      <c r="H14" s="400">
        <v>11700</v>
      </c>
      <c r="I14" s="401"/>
    </row>
    <row r="15" spans="1:10" ht="18" customHeight="1">
      <c r="A15" s="395"/>
      <c r="B15" s="412"/>
      <c r="C15" s="413"/>
      <c r="D15" s="403"/>
      <c r="E15" s="401"/>
      <c r="F15" s="307"/>
      <c r="G15" s="399" t="s">
        <v>499</v>
      </c>
      <c r="H15" s="400">
        <v>876060</v>
      </c>
      <c r="I15" s="401"/>
      <c r="J15" s="415"/>
    </row>
    <row r="16" spans="1:9" ht="18" customHeight="1">
      <c r="A16" s="395"/>
      <c r="B16" s="412"/>
      <c r="C16" s="413"/>
      <c r="D16" s="403"/>
      <c r="E16" s="401"/>
      <c r="F16" s="307"/>
      <c r="G16" s="410" t="s">
        <v>500</v>
      </c>
      <c r="H16" s="411">
        <f>1886000+490000</f>
        <v>2376000</v>
      </c>
      <c r="I16" s="401"/>
    </row>
    <row r="17" spans="1:9" ht="18" customHeight="1">
      <c r="A17" s="395"/>
      <c r="B17" s="412"/>
      <c r="C17" s="413"/>
      <c r="D17" s="403"/>
      <c r="E17" s="401"/>
      <c r="F17" s="307"/>
      <c r="G17" s="399" t="s">
        <v>501</v>
      </c>
      <c r="H17" s="411">
        <v>890.89</v>
      </c>
      <c r="I17" s="401"/>
    </row>
    <row r="18" spans="1:10" ht="18" customHeight="1">
      <c r="A18" s="395"/>
      <c r="B18" s="412"/>
      <c r="C18" s="413"/>
      <c r="D18" s="398"/>
      <c r="E18" s="401"/>
      <c r="F18" s="307"/>
      <c r="G18" s="399" t="s">
        <v>514</v>
      </c>
      <c r="H18" s="400">
        <v>30000</v>
      </c>
      <c r="I18" s="401"/>
      <c r="J18" s="415"/>
    </row>
    <row r="19" spans="1:10" ht="18" customHeight="1">
      <c r="A19" s="416"/>
      <c r="B19" s="417"/>
      <c r="C19" s="418"/>
      <c r="D19" s="414"/>
      <c r="E19" s="401"/>
      <c r="F19" s="223"/>
      <c r="G19" s="419" t="s">
        <v>502</v>
      </c>
      <c r="H19" s="420" t="e">
        <f>SUM(H10:H17)-#REF!-H18</f>
        <v>#REF!</v>
      </c>
      <c r="I19" s="407">
        <f>SUM(H10:H15)-H16-H17-H18</f>
        <v>33515676.14</v>
      </c>
      <c r="J19" s="415"/>
    </row>
    <row r="20" spans="2:10" ht="18" customHeight="1" thickBot="1">
      <c r="B20" s="127"/>
      <c r="C20" s="307"/>
      <c r="E20" s="421">
        <f>SUM(E6:E18)</f>
        <v>75404407.16</v>
      </c>
      <c r="F20" s="422"/>
      <c r="G20" s="415"/>
      <c r="H20" s="127">
        <f>+I20-E20</f>
        <v>0</v>
      </c>
      <c r="I20" s="423">
        <f>SUM(I6:I19)</f>
        <v>75404407.16</v>
      </c>
      <c r="J20" s="415"/>
    </row>
    <row r="21" ht="15.75" customHeight="1" thickTop="1"/>
    <row r="22" spans="2:9" ht="18" customHeight="1">
      <c r="B22" s="235" t="s">
        <v>190</v>
      </c>
      <c r="C22" s="267"/>
      <c r="D22" s="620" t="s">
        <v>191</v>
      </c>
      <c r="E22" s="620"/>
      <c r="G22" s="126" t="s">
        <v>198</v>
      </c>
      <c r="H22" s="620" t="s">
        <v>198</v>
      </c>
      <c r="I22" s="620"/>
    </row>
    <row r="23" spans="2:7" ht="18" customHeight="1">
      <c r="B23" s="235"/>
      <c r="C23" s="267"/>
      <c r="G23" s="126"/>
    </row>
    <row r="24" spans="2:9" ht="18" customHeight="1">
      <c r="B24" s="235" t="s">
        <v>192</v>
      </c>
      <c r="C24" s="267"/>
      <c r="D24" s="620" t="s">
        <v>194</v>
      </c>
      <c r="E24" s="620"/>
      <c r="G24" s="126" t="s">
        <v>503</v>
      </c>
      <c r="H24" s="620" t="s">
        <v>200</v>
      </c>
      <c r="I24" s="620"/>
    </row>
    <row r="25" spans="2:9" ht="18" customHeight="1">
      <c r="B25" s="235" t="s">
        <v>195</v>
      </c>
      <c r="C25" s="267"/>
      <c r="D25" s="620" t="s">
        <v>197</v>
      </c>
      <c r="E25" s="620"/>
      <c r="G25" s="126" t="s">
        <v>201</v>
      </c>
      <c r="H25" s="620" t="s">
        <v>202</v>
      </c>
      <c r="I25" s="620"/>
    </row>
  </sheetData>
  <sheetProtection/>
  <mergeCells count="9">
    <mergeCell ref="D25:E25"/>
    <mergeCell ref="H25:I25"/>
    <mergeCell ref="B1:I1"/>
    <mergeCell ref="B2:I2"/>
    <mergeCell ref="B3:I3"/>
    <mergeCell ref="D22:E22"/>
    <mergeCell ref="H22:I22"/>
    <mergeCell ref="D24:E24"/>
    <mergeCell ref="H24:I24"/>
  </mergeCells>
  <printOptions/>
  <pageMargins left="0.63" right="0.5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0" zoomScaleSheetLayoutView="90" zoomScalePageLayoutView="0" workbookViewId="0" topLeftCell="A1">
      <selection activeCell="A3" sqref="A3:D3"/>
    </sheetView>
  </sheetViews>
  <sheetFormatPr defaultColWidth="9.140625" defaultRowHeight="18.75" customHeight="1"/>
  <cols>
    <col min="1" max="1" width="34.28125" style="431" customWidth="1"/>
    <col min="2" max="4" width="19.8515625" style="431" customWidth="1"/>
    <col min="5" max="5" width="13.8515625" style="431" customWidth="1"/>
    <col min="6" max="16384" width="9.140625" style="431" customWidth="1"/>
  </cols>
  <sheetData>
    <row r="1" spans="1:4" ht="18.75" customHeight="1">
      <c r="A1" s="651" t="s">
        <v>136</v>
      </c>
      <c r="B1" s="651"/>
      <c r="C1" s="651"/>
      <c r="D1" s="651"/>
    </row>
    <row r="2" spans="1:4" ht="18.75" customHeight="1">
      <c r="A2" s="651" t="s">
        <v>168</v>
      </c>
      <c r="B2" s="651"/>
      <c r="C2" s="651"/>
      <c r="D2" s="651"/>
    </row>
    <row r="3" spans="1:4" ht="18.75" customHeight="1">
      <c r="A3" s="652" t="s">
        <v>523</v>
      </c>
      <c r="B3" s="652"/>
      <c r="C3" s="652"/>
      <c r="D3" s="652"/>
    </row>
    <row r="5" spans="1:4" ht="18.75" customHeight="1">
      <c r="A5" s="434" t="s">
        <v>481</v>
      </c>
      <c r="B5" s="434" t="s">
        <v>524</v>
      </c>
      <c r="C5" s="434" t="s">
        <v>525</v>
      </c>
      <c r="D5" s="434" t="s">
        <v>526</v>
      </c>
    </row>
    <row r="6" spans="1:4" ht="18.75" customHeight="1">
      <c r="A6" s="445" t="s">
        <v>27</v>
      </c>
      <c r="B6" s="437" t="s">
        <v>527</v>
      </c>
      <c r="C6" s="435" t="s">
        <v>527</v>
      </c>
      <c r="D6" s="437" t="s">
        <v>527</v>
      </c>
    </row>
    <row r="7" spans="1:4" ht="18.75" customHeight="1">
      <c r="A7" s="433" t="s">
        <v>546</v>
      </c>
      <c r="B7" s="438">
        <v>62457840.27</v>
      </c>
      <c r="C7" s="436">
        <f>74851715.69+6400</f>
        <v>74858115.69</v>
      </c>
      <c r="D7" s="438">
        <f>+C7-B7</f>
        <v>12400275.419999994</v>
      </c>
    </row>
    <row r="8" spans="1:4" ht="18.75" customHeight="1">
      <c r="A8" s="433" t="s">
        <v>33</v>
      </c>
      <c r="B8" s="438">
        <v>22470</v>
      </c>
      <c r="C8" s="436">
        <v>0</v>
      </c>
      <c r="D8" s="438">
        <v>-22470</v>
      </c>
    </row>
    <row r="9" spans="1:4" ht="18.75" customHeight="1">
      <c r="A9" s="433" t="s">
        <v>36</v>
      </c>
      <c r="B9" s="438">
        <v>434311.25</v>
      </c>
      <c r="C9" s="436">
        <v>429111.25</v>
      </c>
      <c r="D9" s="438">
        <f>+C9-B9</f>
        <v>-5200</v>
      </c>
    </row>
    <row r="10" spans="1:4" ht="18.75" customHeight="1">
      <c r="A10" s="433" t="s">
        <v>179</v>
      </c>
      <c r="B10" s="438">
        <v>99180</v>
      </c>
      <c r="C10" s="436">
        <v>103120</v>
      </c>
      <c r="D10" s="438">
        <v>3940</v>
      </c>
    </row>
    <row r="11" spans="1:5" ht="18.75" customHeight="1">
      <c r="A11" s="433" t="s">
        <v>180</v>
      </c>
      <c r="B11" s="438">
        <v>21691.97</v>
      </c>
      <c r="C11" s="436">
        <v>14060.22</v>
      </c>
      <c r="D11" s="438">
        <v>-7631.75</v>
      </c>
      <c r="E11" s="453"/>
    </row>
    <row r="12" spans="1:4" ht="18.75" customHeight="1">
      <c r="A12" s="433" t="s">
        <v>181</v>
      </c>
      <c r="B12" s="438">
        <v>700</v>
      </c>
      <c r="C12" s="436">
        <v>0</v>
      </c>
      <c r="D12" s="438">
        <v>-700</v>
      </c>
    </row>
    <row r="13" spans="1:4" ht="18.75" customHeight="1">
      <c r="A13" s="439" t="s">
        <v>219</v>
      </c>
      <c r="B13" s="440">
        <v>30000</v>
      </c>
      <c r="C13" s="441">
        <v>0</v>
      </c>
      <c r="D13" s="440">
        <v>-30000</v>
      </c>
    </row>
    <row r="14" spans="1:5" ht="18.75" customHeight="1">
      <c r="A14" s="446" t="s">
        <v>44</v>
      </c>
      <c r="B14" s="442">
        <v>62631882.24</v>
      </c>
      <c r="C14" s="443">
        <f>+C7+C10+C11+C9</f>
        <v>75404407.16</v>
      </c>
      <c r="D14" s="442">
        <f>SUM(D7:D13)</f>
        <v>12338213.669999994</v>
      </c>
      <c r="E14" s="452"/>
    </row>
    <row r="15" spans="1:4" ht="18.75" customHeight="1">
      <c r="A15" s="445" t="s">
        <v>482</v>
      </c>
      <c r="B15" s="444" t="s">
        <v>527</v>
      </c>
      <c r="C15" s="435" t="s">
        <v>527</v>
      </c>
      <c r="D15" s="444" t="s">
        <v>527</v>
      </c>
    </row>
    <row r="16" spans="1:4" ht="18.75" customHeight="1">
      <c r="A16" s="433" t="s">
        <v>664</v>
      </c>
      <c r="B16" s="438">
        <v>16834149.96</v>
      </c>
      <c r="C16" s="436">
        <v>13204828.52</v>
      </c>
      <c r="D16" s="438">
        <v>-3629321.44</v>
      </c>
    </row>
    <row r="17" spans="1:4" ht="18.75" customHeight="1">
      <c r="A17" s="439" t="s">
        <v>665</v>
      </c>
      <c r="B17" s="440">
        <v>2066523</v>
      </c>
      <c r="C17" s="441">
        <f>1717839.59+429111.25</f>
        <v>2146950.84</v>
      </c>
      <c r="D17" s="440">
        <v>-348683.41</v>
      </c>
    </row>
    <row r="18" spans="1:4" ht="18.75" customHeight="1">
      <c r="A18" s="446" t="s">
        <v>55</v>
      </c>
      <c r="B18" s="442">
        <v>18900672.96</v>
      </c>
      <c r="C18" s="443">
        <f>SUM(C16:C17)</f>
        <v>15351779.36</v>
      </c>
      <c r="D18" s="442">
        <v>-3978004.85</v>
      </c>
    </row>
    <row r="19" spans="1:4" ht="18.75" customHeight="1">
      <c r="A19" s="447" t="s">
        <v>528</v>
      </c>
      <c r="B19" s="448">
        <v>21478645.97</v>
      </c>
      <c r="C19" s="449">
        <v>33515676.14</v>
      </c>
      <c r="D19" s="448">
        <f>+C19-B19</f>
        <v>12037030.170000002</v>
      </c>
    </row>
    <row r="20" spans="1:5" ht="18.75" customHeight="1">
      <c r="A20" s="433" t="s">
        <v>139</v>
      </c>
      <c r="B20" s="438">
        <v>22252563.31</v>
      </c>
      <c r="C20" s="436">
        <v>26536951.66</v>
      </c>
      <c r="D20" s="438">
        <f>+C20-B20</f>
        <v>4284388.3500000015</v>
      </c>
      <c r="E20" s="453"/>
    </row>
    <row r="21" spans="1:4" ht="18.75" customHeight="1">
      <c r="A21" s="439" t="s">
        <v>529</v>
      </c>
      <c r="B21" s="440">
        <v>0</v>
      </c>
      <c r="C21" s="441">
        <v>0</v>
      </c>
      <c r="D21" s="440">
        <v>0</v>
      </c>
    </row>
    <row r="22" spans="1:5" ht="18.75" customHeight="1">
      <c r="A22" s="446" t="s">
        <v>57</v>
      </c>
      <c r="B22" s="442">
        <v>62631882.24</v>
      </c>
      <c r="C22" s="443">
        <f>+C18+C19+C20</f>
        <v>75404407.16</v>
      </c>
      <c r="D22" s="442">
        <f>+D18+D19+D20</f>
        <v>12343413.670000004</v>
      </c>
      <c r="E22" s="453"/>
    </row>
    <row r="25" spans="1:3" s="432" customFormat="1" ht="18.75" customHeight="1">
      <c r="A25" s="450" t="s">
        <v>530</v>
      </c>
      <c r="C25" s="450" t="s">
        <v>531</v>
      </c>
    </row>
    <row r="26" spans="1:3" s="432" customFormat="1" ht="18.75" customHeight="1">
      <c r="A26" s="450" t="s">
        <v>361</v>
      </c>
      <c r="C26" s="450" t="s">
        <v>194</v>
      </c>
    </row>
    <row r="27" spans="1:3" s="432" customFormat="1" ht="18.75" customHeight="1">
      <c r="A27" s="450" t="s">
        <v>195</v>
      </c>
      <c r="C27" s="450" t="s">
        <v>197</v>
      </c>
    </row>
    <row r="28" spans="1:4" ht="18.75" customHeight="1">
      <c r="A28" s="451"/>
      <c r="D28" s="451"/>
    </row>
    <row r="30" spans="1:3" s="432" customFormat="1" ht="18.75" customHeight="1">
      <c r="A30" s="450" t="s">
        <v>532</v>
      </c>
      <c r="C30" s="450" t="s">
        <v>533</v>
      </c>
    </row>
    <row r="31" spans="1:3" s="432" customFormat="1" ht="18.75" customHeight="1">
      <c r="A31" s="450" t="s">
        <v>263</v>
      </c>
      <c r="C31" s="450" t="s">
        <v>200</v>
      </c>
    </row>
    <row r="32" spans="1:3" s="432" customFormat="1" ht="18.75" customHeight="1">
      <c r="A32" s="450" t="s">
        <v>201</v>
      </c>
      <c r="C32" s="450" t="s">
        <v>202</v>
      </c>
    </row>
  </sheetData>
  <sheetProtection/>
  <mergeCells count="3">
    <mergeCell ref="A1:D1"/>
    <mergeCell ref="A2:D2"/>
    <mergeCell ref="A3:D3"/>
  </mergeCells>
  <hyperlinks>
    <hyperlink ref="A7" r:id="rId1" display="เงินสดและเงินฝากธนาคาร (หมายเหตุ 2)"/>
    <hyperlink ref="A16" r:id="rId2" display="รายจ่ายค้างจ่าย (หมายเหตุ 5)"/>
    <hyperlink ref="A17" r:id="rId3" display="เงินรับฝาก (หมายเหตุ 4)"/>
    <hyperlink ref="A19" r:id="rId4" display="เงินสะสม (หมายเหตุ 8)"/>
  </hyperlinks>
  <printOptions/>
  <pageMargins left="0.67" right="0.16" top="0.4" bottom="0.16" header="0.17" footer="0.16"/>
  <pageSetup horizontalDpi="600" verticalDpi="600" orientation="portrait" paperSize="9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56"/>
  <sheetViews>
    <sheetView view="pageBreakPreview" zoomScale="110" zoomScaleSheetLayoutView="110" zoomScalePageLayoutView="0" workbookViewId="0" topLeftCell="A41">
      <selection activeCell="E41" sqref="E41"/>
    </sheetView>
  </sheetViews>
  <sheetFormatPr defaultColWidth="9.140625" defaultRowHeight="12.75"/>
  <cols>
    <col min="1" max="1" width="7.28125" style="25" customWidth="1"/>
    <col min="2" max="2" width="10.28125" style="25" customWidth="1"/>
    <col min="3" max="3" width="4.57421875" style="25" customWidth="1"/>
    <col min="4" max="4" width="31.421875" style="25" customWidth="1"/>
    <col min="5" max="5" width="12.7109375" style="73" customWidth="1"/>
    <col min="6" max="6" width="5.00390625" style="25" customWidth="1"/>
    <col min="7" max="7" width="16.57421875" style="28" customWidth="1"/>
    <col min="8" max="8" width="4.00390625" style="25" customWidth="1"/>
    <col min="9" max="9" width="17.7109375" style="28" customWidth="1"/>
    <col min="10" max="10" width="15.57421875" style="25" customWidth="1"/>
    <col min="11" max="16384" width="9.140625" style="25" customWidth="1"/>
  </cols>
  <sheetData>
    <row r="1" spans="2:7" ht="20.25" customHeight="1">
      <c r="B1" s="653" t="s">
        <v>168</v>
      </c>
      <c r="C1" s="653"/>
      <c r="D1" s="653"/>
      <c r="E1" s="653"/>
      <c r="F1" s="653"/>
      <c r="G1" s="653"/>
    </row>
    <row r="2" spans="2:7" ht="19.5" customHeight="1">
      <c r="B2" s="653" t="s">
        <v>136</v>
      </c>
      <c r="C2" s="653"/>
      <c r="D2" s="653"/>
      <c r="E2" s="653"/>
      <c r="F2" s="653"/>
      <c r="G2" s="653"/>
    </row>
    <row r="3" spans="2:7" ht="19.5" customHeight="1">
      <c r="B3" s="653" t="s">
        <v>169</v>
      </c>
      <c r="C3" s="653"/>
      <c r="D3" s="653"/>
      <c r="E3" s="653"/>
      <c r="F3" s="653"/>
      <c r="G3" s="653"/>
    </row>
    <row r="4" ht="21">
      <c r="E4" s="3" t="s">
        <v>121</v>
      </c>
    </row>
    <row r="5" spans="2:9" s="4" customFormat="1" ht="21" thickBot="1">
      <c r="B5" s="4" t="s">
        <v>26</v>
      </c>
      <c r="E5" s="3">
        <v>2</v>
      </c>
      <c r="G5" s="74">
        <v>45380686.98</v>
      </c>
      <c r="I5" s="76"/>
    </row>
    <row r="6" spans="2:9" s="4" customFormat="1" ht="21" thickTop="1">
      <c r="B6" s="4" t="s">
        <v>27</v>
      </c>
      <c r="E6" s="3"/>
      <c r="G6" s="75"/>
      <c r="I6" s="76"/>
    </row>
    <row r="7" spans="3:9" s="4" customFormat="1" ht="21">
      <c r="C7" s="4" t="s">
        <v>28</v>
      </c>
      <c r="E7" s="3"/>
      <c r="G7" s="75"/>
      <c r="I7" s="76"/>
    </row>
    <row r="8" spans="4:7" ht="21">
      <c r="D8" s="25" t="s">
        <v>29</v>
      </c>
      <c r="E8" s="73">
        <v>3</v>
      </c>
      <c r="G8" s="28">
        <f>+'หมายเหตุ 3-5'!I11</f>
        <v>74858115.69</v>
      </c>
    </row>
    <row r="9" spans="4:7" ht="21" hidden="1">
      <c r="D9" s="25" t="s">
        <v>30</v>
      </c>
      <c r="G9" s="28">
        <v>0</v>
      </c>
    </row>
    <row r="10" spans="4:7" ht="21.75" customHeight="1" hidden="1">
      <c r="D10" s="25" t="s">
        <v>31</v>
      </c>
      <c r="G10" s="28">
        <v>0</v>
      </c>
    </row>
    <row r="11" spans="4:7" ht="22.5" customHeight="1" hidden="1">
      <c r="D11" s="25" t="s">
        <v>32</v>
      </c>
      <c r="G11" s="28">
        <v>0</v>
      </c>
    </row>
    <row r="12" spans="4:7" ht="21" hidden="1">
      <c r="D12" s="25" t="s">
        <v>33</v>
      </c>
      <c r="E12" s="73" t="s">
        <v>94</v>
      </c>
      <c r="F12" s="28"/>
      <c r="G12" s="28">
        <v>0</v>
      </c>
    </row>
    <row r="13" spans="4:7" ht="21">
      <c r="D13" s="25" t="s">
        <v>34</v>
      </c>
      <c r="E13" s="73">
        <v>4</v>
      </c>
      <c r="F13" s="28"/>
      <c r="G13" s="28">
        <f>+'หมายเหตุ 3-5'!I31</f>
        <v>117180.22</v>
      </c>
    </row>
    <row r="14" spans="4:7" ht="21" hidden="1">
      <c r="D14" s="25" t="s">
        <v>35</v>
      </c>
      <c r="E14" s="73">
        <v>5</v>
      </c>
      <c r="F14" s="28"/>
      <c r="G14" s="28">
        <v>0</v>
      </c>
    </row>
    <row r="15" spans="4:7" ht="21">
      <c r="D15" s="25" t="s">
        <v>36</v>
      </c>
      <c r="E15" s="73">
        <v>5</v>
      </c>
      <c r="F15" s="28"/>
      <c r="G15" s="28">
        <f>+'หมายเหตุ 3-5'!I50</f>
        <v>429111.25</v>
      </c>
    </row>
    <row r="16" spans="4:7" ht="21" hidden="1">
      <c r="D16" s="25" t="s">
        <v>37</v>
      </c>
      <c r="E16" s="73" t="s">
        <v>94</v>
      </c>
      <c r="F16" s="28"/>
      <c r="G16" s="77">
        <v>0</v>
      </c>
    </row>
    <row r="17" spans="4:9" s="4" customFormat="1" ht="21">
      <c r="D17" s="4" t="s">
        <v>38</v>
      </c>
      <c r="E17" s="3"/>
      <c r="F17" s="76"/>
      <c r="G17" s="78">
        <f>SUM(G8:G16)</f>
        <v>75404407.16</v>
      </c>
      <c r="I17" s="76"/>
    </row>
    <row r="18" spans="3:6" ht="21" hidden="1">
      <c r="C18" s="25" t="s">
        <v>39</v>
      </c>
      <c r="F18" s="28"/>
    </row>
    <row r="19" spans="4:7" ht="21" hidden="1">
      <c r="D19" s="25" t="s">
        <v>40</v>
      </c>
      <c r="E19" s="73" t="s">
        <v>94</v>
      </c>
      <c r="F19" s="28"/>
      <c r="G19" s="28">
        <v>0</v>
      </c>
    </row>
    <row r="20" spans="4:7" ht="21" hidden="1">
      <c r="D20" s="25" t="s">
        <v>42</v>
      </c>
      <c r="E20" s="73" t="s">
        <v>94</v>
      </c>
      <c r="F20" s="28"/>
      <c r="G20" s="28">
        <v>0</v>
      </c>
    </row>
    <row r="21" spans="4:7" ht="21" hidden="1">
      <c r="D21" s="25" t="s">
        <v>43</v>
      </c>
      <c r="E21" s="73" t="s">
        <v>94</v>
      </c>
      <c r="F21" s="28"/>
      <c r="G21" s="77">
        <v>0</v>
      </c>
    </row>
    <row r="22" spans="4:7" ht="21" hidden="1">
      <c r="D22" s="25" t="s">
        <v>41</v>
      </c>
      <c r="E22" s="73" t="s">
        <v>94</v>
      </c>
      <c r="F22" s="28"/>
      <c r="G22" s="79">
        <f>SUM(G19:G21)</f>
        <v>0</v>
      </c>
    </row>
    <row r="23" spans="2:9" s="4" customFormat="1" ht="21" thickBot="1">
      <c r="B23" s="4" t="s">
        <v>44</v>
      </c>
      <c r="E23" s="3"/>
      <c r="F23" s="76"/>
      <c r="G23" s="32">
        <f>SUM(G17+G22)</f>
        <v>75404407.16</v>
      </c>
      <c r="I23" s="76"/>
    </row>
    <row r="24" spans="5:9" s="4" customFormat="1" ht="21" thickTop="1">
      <c r="E24" s="3"/>
      <c r="F24" s="76"/>
      <c r="G24" s="75"/>
      <c r="I24" s="76"/>
    </row>
    <row r="25" spans="2:7" ht="24.75" customHeight="1" thickBot="1">
      <c r="B25" s="72" t="s">
        <v>137</v>
      </c>
      <c r="C25" s="61"/>
      <c r="D25" s="61"/>
      <c r="E25" s="3">
        <v>2</v>
      </c>
      <c r="F25" s="61"/>
      <c r="G25" s="80">
        <f>+G5</f>
        <v>45380686.98</v>
      </c>
    </row>
    <row r="26" spans="2:7" ht="24.75" customHeight="1" thickTop="1">
      <c r="B26" s="72" t="s">
        <v>138</v>
      </c>
      <c r="C26" s="61"/>
      <c r="D26" s="61"/>
      <c r="E26" s="3"/>
      <c r="F26" s="61"/>
      <c r="G26" s="81"/>
    </row>
    <row r="27" spans="2:7" ht="24.75" customHeight="1">
      <c r="B27" s="72"/>
      <c r="C27" s="72" t="s">
        <v>46</v>
      </c>
      <c r="D27" s="61"/>
      <c r="E27" s="3"/>
      <c r="F27" s="61"/>
      <c r="G27" s="81"/>
    </row>
    <row r="28" spans="4:9" s="39" customFormat="1" ht="24.75" customHeight="1">
      <c r="D28" s="39" t="s">
        <v>151</v>
      </c>
      <c r="E28" s="44">
        <v>6</v>
      </c>
      <c r="G28" s="47">
        <f>+'หมายเหตุ 6'!H38</f>
        <v>13204828.52</v>
      </c>
      <c r="I28" s="47"/>
    </row>
    <row r="29" spans="4:9" s="39" customFormat="1" ht="24.75" customHeight="1" hidden="1">
      <c r="D29" s="39" t="s">
        <v>47</v>
      </c>
      <c r="E29" s="44" t="s">
        <v>94</v>
      </c>
      <c r="G29" s="47">
        <v>0</v>
      </c>
      <c r="I29" s="47"/>
    </row>
    <row r="30" spans="4:9" s="39" customFormat="1" ht="24.75" customHeight="1" hidden="1">
      <c r="D30" s="39" t="s">
        <v>11</v>
      </c>
      <c r="E30" s="44" t="s">
        <v>94</v>
      </c>
      <c r="G30" s="47">
        <v>0</v>
      </c>
      <c r="I30" s="47"/>
    </row>
    <row r="31" spans="4:9" s="39" customFormat="1" ht="24.75" customHeight="1">
      <c r="D31" s="39" t="s">
        <v>48</v>
      </c>
      <c r="E31" s="44">
        <v>7</v>
      </c>
      <c r="G31" s="47">
        <f>+'หมายเหตุ 7'!G20</f>
        <v>2146950.84</v>
      </c>
      <c r="I31" s="47"/>
    </row>
    <row r="32" spans="4:9" s="39" customFormat="1" ht="24.75" customHeight="1" hidden="1">
      <c r="D32" s="39" t="s">
        <v>49</v>
      </c>
      <c r="E32" s="44" t="s">
        <v>94</v>
      </c>
      <c r="G32" s="83">
        <v>0</v>
      </c>
      <c r="I32" s="47"/>
    </row>
    <row r="33" spans="4:9" s="46" customFormat="1" ht="24.75" customHeight="1">
      <c r="D33" s="46" t="s">
        <v>50</v>
      </c>
      <c r="E33" s="54"/>
      <c r="G33" s="88">
        <f>SUM(G28:G32)</f>
        <v>15351779.36</v>
      </c>
      <c r="I33" s="88"/>
    </row>
    <row r="34" spans="3:10" s="39" customFormat="1" ht="25.5" customHeight="1" hidden="1">
      <c r="C34" s="46" t="s">
        <v>51</v>
      </c>
      <c r="E34" s="44"/>
      <c r="G34" s="84"/>
      <c r="I34" s="47"/>
      <c r="J34" s="45"/>
    </row>
    <row r="35" spans="4:10" s="39" customFormat="1" ht="25.5" customHeight="1" hidden="1">
      <c r="D35" s="39" t="s">
        <v>52</v>
      </c>
      <c r="E35" s="44" t="s">
        <v>94</v>
      </c>
      <c r="G35" s="82">
        <v>0</v>
      </c>
      <c r="I35" s="47"/>
      <c r="J35" s="45"/>
    </row>
    <row r="36" spans="4:10" s="39" customFormat="1" ht="25.5" customHeight="1" hidden="1">
      <c r="D36" s="39" t="s">
        <v>53</v>
      </c>
      <c r="E36" s="44" t="s">
        <v>94</v>
      </c>
      <c r="G36" s="82">
        <v>0</v>
      </c>
      <c r="I36" s="47"/>
      <c r="J36" s="45"/>
    </row>
    <row r="37" spans="4:10" s="46" customFormat="1" ht="25.5" customHeight="1" hidden="1">
      <c r="D37" s="46" t="s">
        <v>54</v>
      </c>
      <c r="E37" s="54"/>
      <c r="G37" s="85">
        <f>SUM(G35:G36)</f>
        <v>0</v>
      </c>
      <c r="I37" s="88"/>
      <c r="J37" s="87"/>
    </row>
    <row r="38" spans="3:10" s="39" customFormat="1" ht="25.5" customHeight="1">
      <c r="C38" s="46" t="s">
        <v>55</v>
      </c>
      <c r="E38" s="44"/>
      <c r="G38" s="86">
        <f>SUM(G33+G37)</f>
        <v>15351779.36</v>
      </c>
      <c r="I38" s="47"/>
      <c r="J38" s="45"/>
    </row>
    <row r="39" spans="2:10" s="39" customFormat="1" ht="25.5" customHeight="1">
      <c r="B39" s="46" t="s">
        <v>118</v>
      </c>
      <c r="I39" s="47"/>
      <c r="J39" s="45"/>
    </row>
    <row r="40" spans="3:10" s="39" customFormat="1" ht="25.5" customHeight="1">
      <c r="C40" s="39" t="s">
        <v>118</v>
      </c>
      <c r="E40" s="44">
        <v>8</v>
      </c>
      <c r="G40" s="48">
        <f>+'หมายเหตุ 8 เงินสะสม'!H16</f>
        <v>33515676.1375</v>
      </c>
      <c r="I40" s="47"/>
      <c r="J40" s="45"/>
    </row>
    <row r="41" spans="3:7" ht="25.5" customHeight="1">
      <c r="C41" s="39" t="s">
        <v>139</v>
      </c>
      <c r="D41" s="39"/>
      <c r="E41" s="44" t="s">
        <v>94</v>
      </c>
      <c r="F41" s="39"/>
      <c r="G41" s="83">
        <f>+งบทดลองหลัง!E14</f>
        <v>26536951.66</v>
      </c>
    </row>
    <row r="42" spans="3:9" s="4" customFormat="1" ht="21">
      <c r="C42" s="4" t="s">
        <v>56</v>
      </c>
      <c r="E42" s="3"/>
      <c r="G42" s="78">
        <f>SUM(G40:G41)</f>
        <v>60052627.7975</v>
      </c>
      <c r="I42" s="76"/>
    </row>
    <row r="43" spans="2:9" s="4" customFormat="1" ht="21" thickBot="1">
      <c r="B43" s="4" t="s">
        <v>57</v>
      </c>
      <c r="E43" s="3"/>
      <c r="G43" s="74">
        <f>SUM(G38+G42)</f>
        <v>75404407.1575</v>
      </c>
      <c r="I43" s="76"/>
    </row>
    <row r="44" ht="12" customHeight="1" thickTop="1">
      <c r="G44" s="34"/>
    </row>
    <row r="45" ht="21">
      <c r="B45" s="4" t="s">
        <v>45</v>
      </c>
    </row>
    <row r="46" ht="15.75" customHeight="1"/>
    <row r="47" spans="2:9" s="15" customFormat="1" ht="15.75" customHeight="1">
      <c r="B47" s="124"/>
      <c r="C47" s="124" t="s">
        <v>190</v>
      </c>
      <c r="D47" s="124"/>
      <c r="F47" s="124" t="s">
        <v>191</v>
      </c>
      <c r="H47" s="124"/>
      <c r="I47" s="124"/>
    </row>
    <row r="48" spans="2:9" s="1" customFormat="1" ht="21" customHeight="1">
      <c r="B48" s="125"/>
      <c r="C48" s="125"/>
      <c r="D48" s="14"/>
      <c r="F48" s="126"/>
      <c r="H48" s="2"/>
      <c r="I48" s="2"/>
    </row>
    <row r="49" spans="2:9" s="14" customFormat="1" ht="15.75" customHeight="1">
      <c r="B49" s="125"/>
      <c r="C49" s="125" t="s">
        <v>192</v>
      </c>
      <c r="D49" s="125"/>
      <c r="F49" s="125" t="s">
        <v>194</v>
      </c>
      <c r="H49" s="125"/>
      <c r="I49" s="125"/>
    </row>
    <row r="50" spans="2:9" s="14" customFormat="1" ht="15.75" customHeight="1">
      <c r="B50" s="125"/>
      <c r="C50" s="125" t="s">
        <v>195</v>
      </c>
      <c r="D50" s="125"/>
      <c r="F50" s="125" t="s">
        <v>197</v>
      </c>
      <c r="H50" s="125"/>
      <c r="I50" s="125"/>
    </row>
    <row r="51" spans="2:9" s="14" customFormat="1" ht="15.75" customHeight="1">
      <c r="B51" s="125"/>
      <c r="C51" s="125"/>
      <c r="D51" s="125"/>
      <c r="F51" s="125"/>
      <c r="H51" s="125"/>
      <c r="I51" s="125"/>
    </row>
    <row r="52" spans="2:9" s="5" customFormat="1" ht="15" customHeight="1">
      <c r="B52" s="129"/>
      <c r="C52" s="128" t="s">
        <v>198</v>
      </c>
      <c r="F52" s="128" t="s">
        <v>198</v>
      </c>
      <c r="H52" s="24"/>
      <c r="I52" s="24"/>
    </row>
    <row r="53" spans="1:9" s="1" customFormat="1" ht="21" customHeight="1">
      <c r="A53" s="127"/>
      <c r="B53" s="2"/>
      <c r="C53" s="14"/>
      <c r="F53" s="126"/>
      <c r="H53" s="2"/>
      <c r="I53" s="2"/>
    </row>
    <row r="54" spans="2:9" s="1" customFormat="1" ht="15.75" customHeight="1">
      <c r="B54" s="130"/>
      <c r="C54" s="126" t="s">
        <v>199</v>
      </c>
      <c r="F54" s="126" t="s">
        <v>200</v>
      </c>
      <c r="H54" s="2"/>
      <c r="I54" s="2"/>
    </row>
    <row r="55" spans="2:9" s="1" customFormat="1" ht="15.75" customHeight="1">
      <c r="B55" s="130"/>
      <c r="C55" s="126" t="s">
        <v>201</v>
      </c>
      <c r="F55" s="126" t="s">
        <v>202</v>
      </c>
      <c r="H55" s="2"/>
      <c r="I55" s="2"/>
    </row>
    <row r="56" spans="1:9" s="1" customFormat="1" ht="5.25" customHeight="1">
      <c r="A56" s="2"/>
      <c r="B56" s="2"/>
      <c r="D56" s="127"/>
      <c r="E56" s="127"/>
      <c r="H56" s="2"/>
      <c r="I56" s="2"/>
    </row>
  </sheetData>
  <sheetProtection/>
  <mergeCells count="3">
    <mergeCell ref="B1:G1"/>
    <mergeCell ref="B2:G2"/>
    <mergeCell ref="B3:G3"/>
  </mergeCells>
  <printOptions/>
  <pageMargins left="0.7480314960629921" right="0.2362204724409449" top="0.52" bottom="0.44" header="0.45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TATTOO</cp:lastModifiedBy>
  <cp:lastPrinted>2017-12-21T04:07:08Z</cp:lastPrinted>
  <dcterms:created xsi:type="dcterms:W3CDTF">2007-10-15T02:23:16Z</dcterms:created>
  <dcterms:modified xsi:type="dcterms:W3CDTF">2017-12-22T03:24:05Z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